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d96d12aca39f54f6/Documentos/1_MAX PLANILHAS/5_SITE/PLANILHAS_SITE/GRÁTIS/1_ATIVAS/PLANILHA CAIXINHA ENTRE AMIGOS/ARQUIVO/"/>
    </mc:Choice>
  </mc:AlternateContent>
  <xr:revisionPtr revIDLastSave="613" documentId="8_{B122803A-DC3C-49E7-AD04-B78B96380605}" xr6:coauthVersionLast="47" xr6:coauthVersionMax="47" xr10:uidLastSave="{AEBD280D-C2D4-48F9-8858-15410270AA23}"/>
  <bookViews>
    <workbookView xWindow="-120" yWindow="-120" windowWidth="29040" windowHeight="15720" tabRatio="0" xr2:uid="{0DAD9CF5-1E0C-4606-B90B-8F691D5056E3}"/>
  </bookViews>
  <sheets>
    <sheet name="PARTICIPANTES" sheetId="1" r:id="rId1"/>
    <sheet name="CONTRIBUIÇÕES" sheetId="2" r:id="rId2"/>
    <sheet name="EMPRESTIMOS" sheetId="6" r:id="rId3"/>
    <sheet name="PGTO EMPRESTIMOS" sheetId="7" r:id="rId4"/>
    <sheet name="FLUXO" sheetId="8" r:id="rId5"/>
    <sheet name="BÔNUS" sheetId="5" r:id="rId6"/>
  </sheets>
  <definedNames>
    <definedName name="ID_EMPRÉSTIMOS">Tab_Emprestimos[ID EMPRÉSTIMOS]</definedName>
    <definedName name="NOME">Tab_Participantes[NOME]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7" l="1"/>
  <c r="F19" i="7"/>
  <c r="F13" i="6"/>
  <c r="G13" i="6" s="1"/>
  <c r="H13" i="6"/>
  <c r="K13" i="6"/>
  <c r="E12" i="1"/>
  <c r="F12" i="1"/>
  <c r="E13" i="1"/>
  <c r="F13" i="1"/>
  <c r="E14" i="1"/>
  <c r="F14" i="1"/>
  <c r="E15" i="1"/>
  <c r="F15" i="1"/>
  <c r="E16" i="1"/>
  <c r="F16" i="1"/>
  <c r="E17" i="1"/>
  <c r="F17" i="1"/>
  <c r="I17" i="1"/>
  <c r="E18" i="1"/>
  <c r="F18" i="1"/>
  <c r="E19" i="1"/>
  <c r="F19" i="1"/>
  <c r="I19" i="1"/>
  <c r="E20" i="1"/>
  <c r="F20" i="1"/>
  <c r="G20" i="1" s="1"/>
  <c r="I20" i="1"/>
  <c r="E21" i="1"/>
  <c r="F21" i="1"/>
  <c r="G21" i="1" s="1"/>
  <c r="I21" i="1"/>
  <c r="H7" i="6"/>
  <c r="H8" i="6"/>
  <c r="H9" i="6"/>
  <c r="H10" i="6"/>
  <c r="H11" i="6"/>
  <c r="H12" i="6"/>
  <c r="F7" i="7"/>
  <c r="E11" i="8" s="1"/>
  <c r="D7" i="7"/>
  <c r="D8" i="7"/>
  <c r="D9" i="7"/>
  <c r="D10" i="7"/>
  <c r="D11" i="7"/>
  <c r="D12" i="7"/>
  <c r="D13" i="7"/>
  <c r="D14" i="7"/>
  <c r="D15" i="7"/>
  <c r="D16" i="7"/>
  <c r="D17" i="7"/>
  <c r="D18" i="7"/>
  <c r="F18" i="7"/>
  <c r="F17" i="7"/>
  <c r="F16" i="7"/>
  <c r="F15" i="7"/>
  <c r="F14" i="7"/>
  <c r="F13" i="7"/>
  <c r="F12" i="7"/>
  <c r="F11" i="7"/>
  <c r="F10" i="7"/>
  <c r="F9" i="7"/>
  <c r="F8" i="7"/>
  <c r="E13" i="8" s="1"/>
  <c r="F7" i="6"/>
  <c r="G7" i="6" s="1"/>
  <c r="I12" i="1" s="1"/>
  <c r="F8" i="6"/>
  <c r="G8" i="6" s="1"/>
  <c r="I13" i="1" s="1"/>
  <c r="F9" i="6"/>
  <c r="G9" i="6" s="1"/>
  <c r="I14" i="1" s="1"/>
  <c r="F10" i="6"/>
  <c r="G10" i="6" s="1"/>
  <c r="I15" i="1" s="1"/>
  <c r="F11" i="6"/>
  <c r="G11" i="6" s="1"/>
  <c r="I16" i="1" s="1"/>
  <c r="F12" i="6"/>
  <c r="G12" i="6" s="1"/>
  <c r="I18" i="1" s="1"/>
  <c r="K7" i="6"/>
  <c r="K12" i="6"/>
  <c r="K11" i="6"/>
  <c r="K10" i="6"/>
  <c r="K9" i="6"/>
  <c r="K8" i="6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E9" i="8" l="1"/>
  <c r="E15" i="8"/>
  <c r="E7" i="8"/>
  <c r="E14" i="8"/>
  <c r="E18" i="8"/>
  <c r="E8" i="8"/>
  <c r="E12" i="8"/>
  <c r="E10" i="8"/>
  <c r="E17" i="8"/>
  <c r="E16" i="8"/>
  <c r="I13" i="6"/>
  <c r="J13" i="6" s="1"/>
  <c r="D12" i="8"/>
  <c r="D13" i="8"/>
  <c r="D18" i="8"/>
  <c r="D10" i="8"/>
  <c r="D11" i="8"/>
  <c r="D17" i="8"/>
  <c r="D9" i="8"/>
  <c r="D16" i="8"/>
  <c r="D8" i="8"/>
  <c r="D15" i="8"/>
  <c r="D7" i="8"/>
  <c r="D14" i="8"/>
  <c r="J13" i="1"/>
  <c r="L13" i="1" s="1"/>
  <c r="J20" i="1"/>
  <c r="K20" i="1" s="1"/>
  <c r="J18" i="1"/>
  <c r="K18" i="1" s="1"/>
  <c r="J16" i="1"/>
  <c r="J14" i="1"/>
  <c r="K14" i="1" s="1"/>
  <c r="J21" i="1"/>
  <c r="K21" i="1" s="1"/>
  <c r="J12" i="1"/>
  <c r="J19" i="1"/>
  <c r="J17" i="1"/>
  <c r="K17" i="1" s="1"/>
  <c r="J15" i="1"/>
  <c r="K15" i="1" s="1"/>
  <c r="G15" i="1"/>
  <c r="G13" i="1"/>
  <c r="G12" i="1"/>
  <c r="G16" i="1"/>
  <c r="G19" i="1"/>
  <c r="G17" i="1"/>
  <c r="G18" i="1"/>
  <c r="G14" i="1"/>
  <c r="H21" i="1"/>
  <c r="H20" i="1"/>
  <c r="H19" i="1"/>
  <c r="H18" i="1"/>
  <c r="H17" i="1"/>
  <c r="H16" i="1"/>
  <c r="H15" i="1"/>
  <c r="H14" i="1"/>
  <c r="H13" i="1"/>
  <c r="H12" i="1"/>
  <c r="E9" i="1"/>
  <c r="C12" i="8"/>
  <c r="C8" i="8"/>
  <c r="C10" i="8"/>
  <c r="C18" i="8"/>
  <c r="C7" i="8"/>
  <c r="C14" i="8"/>
  <c r="C11" i="8"/>
  <c r="C9" i="8"/>
  <c r="C17" i="8"/>
  <c r="C16" i="8"/>
  <c r="C15" i="8"/>
  <c r="C13" i="8"/>
  <c r="F13" i="8" s="1"/>
  <c r="I8" i="6"/>
  <c r="J8" i="6" s="1"/>
  <c r="I7" i="6"/>
  <c r="J7" i="6" s="1"/>
  <c r="I11" i="6"/>
  <c r="J11" i="6" s="1"/>
  <c r="I10" i="6"/>
  <c r="J10" i="6" s="1"/>
  <c r="I9" i="6"/>
  <c r="J9" i="6" s="1"/>
  <c r="I12" i="6"/>
  <c r="J12" i="6" s="1"/>
  <c r="F9" i="1"/>
  <c r="F12" i="8" l="1"/>
  <c r="E19" i="8"/>
  <c r="F7" i="8"/>
  <c r="G7" i="8" s="1"/>
  <c r="K13" i="1"/>
  <c r="F18" i="8"/>
  <c r="F10" i="8"/>
  <c r="F14" i="8"/>
  <c r="F16" i="8"/>
  <c r="F17" i="8"/>
  <c r="F9" i="8"/>
  <c r="F11" i="8"/>
  <c r="F15" i="8"/>
  <c r="F8" i="8"/>
  <c r="G8" i="8" s="1"/>
  <c r="G9" i="8" s="1"/>
  <c r="D19" i="8"/>
  <c r="J9" i="1"/>
  <c r="L18" i="1"/>
  <c r="L20" i="1"/>
  <c r="L14" i="1"/>
  <c r="L15" i="1"/>
  <c r="K12" i="1"/>
  <c r="L12" i="1"/>
  <c r="L17" i="1"/>
  <c r="K19" i="1"/>
  <c r="L19" i="1"/>
  <c r="L21" i="1"/>
  <c r="K16" i="1"/>
  <c r="L16" i="1"/>
  <c r="I9" i="1"/>
  <c r="H9" i="1"/>
  <c r="C19" i="8"/>
  <c r="G10" i="8" l="1"/>
  <c r="G11" i="8" s="1"/>
  <c r="G12" i="8" s="1"/>
  <c r="G13" i="8" s="1"/>
  <c r="G14" i="8" s="1"/>
  <c r="G15" i="8" s="1"/>
  <c r="G16" i="8" s="1"/>
  <c r="G17" i="8" s="1"/>
  <c r="G18" i="8" s="1"/>
  <c r="G19" i="8" s="1"/>
  <c r="F19" i="8"/>
  <c r="L9" i="1"/>
</calcChain>
</file>

<file path=xl/sharedStrings.xml><?xml version="1.0" encoding="utf-8"?>
<sst xmlns="http://schemas.openxmlformats.org/spreadsheetml/2006/main" count="164" uniqueCount="98">
  <si>
    <t>DATA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</si>
  <si>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</si>
  <si>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</si>
  <si>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</si>
  <si>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</si>
  <si>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</si>
  <si>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</si>
  <si>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</si>
  <si>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</si>
  <si>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</si>
  <si>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</si>
  <si>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</si>
  <si>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</si>
  <si>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</si>
  <si>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</si>
  <si>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AUX MÊS</t>
  </si>
  <si>
    <t>SUBTOTAL</t>
  </si>
  <si>
    <t>APROVEITE SEU DESCONTO EXCLUSIVO!</t>
  </si>
  <si>
    <t>PRECISA DE UMA PLANILHA SOB MEDIDA?</t>
  </si>
  <si>
    <t>OBRIGADO POR BAIXAR NOSSA PLANILHA!</t>
  </si>
  <si>
    <t>NÃO ENCONTROU EXATAMENTE O QUE PRECISA?</t>
  </si>
  <si>
    <t>QUE TAL DAR O PRÓXIMO PASSO E ACELERAR SEUS RESULTADOS?</t>
  </si>
  <si>
    <t>OU QUER ALGO MAIS COMPLETO E AUTOMATIZADO?</t>
  </si>
  <si>
    <t>TEMOS DIVERSAS PLANILHAS PRONTAS, PRÁTICAS E PROFISSIONAIS PARA VOCÊ USAR HOJE MESMO.</t>
  </si>
  <si>
    <t>NÓS DESENVOLVEMOS PLANILHAS PERSONALIZADAS E ADAPTADAS PARA VOCÊ OU SEU NEGÓCIO, COM FOCO EM:</t>
  </si>
  <si>
    <t>E PARA TE AJUDAR, LIBERAMOS UM PRESENTE ESPECIAL:</t>
  </si>
  <si>
    <t>✔ ORGANIZAÇÃO</t>
  </si>
  <si>
    <t>✔ AUTOMAÇÃO</t>
  </si>
  <si>
    <t>✔ ANÁLISES E DASHBOARDS</t>
  </si>
  <si>
    <t>✔ GANHO DE TEMPO E PRODUTIVIDADE</t>
  </si>
  <si>
    <t>TRANSFORME CONTROLES MANUAIS EM PROCESSOS PROFISSIONAIS E EFICIENTES.</t>
  </si>
  <si>
    <t>USE O CUPOM ABAIXO E APROVEITE AGORA:</t>
  </si>
  <si>
    <t>MAX20</t>
  </si>
  <si>
    <t>SOLICITE UM ORÇAMENTO E DESCUBRA COMO PODEMOS CRIAR A SOLUÇÃO IDEAL PARA VOCÊ:</t>
  </si>
  <si>
    <t>NOME</t>
  </si>
  <si>
    <t>TELEFONE</t>
  </si>
  <si>
    <t>TOTAL À CONTRIBUIR</t>
  </si>
  <si>
    <t>TOTAL CONTRIBUÍDO</t>
  </si>
  <si>
    <t>STATUS CONTRIBUIÇÃO</t>
  </si>
  <si>
    <t>SALDO CONTRIBUIÇÃO</t>
  </si>
  <si>
    <t>EMPRÉSTIMOS TOMADOS</t>
  </si>
  <si>
    <t>TOTAL PAGO EMPRÉSTIMOS</t>
  </si>
  <si>
    <t>SALDO EMPRÉSTIMOS</t>
  </si>
  <si>
    <t>Ana</t>
  </si>
  <si>
    <t>(11) 90000-0001</t>
  </si>
  <si>
    <t>Bruno</t>
  </si>
  <si>
    <t>(11) 90000-0002</t>
  </si>
  <si>
    <t>Carla</t>
  </si>
  <si>
    <t>(11) 90000-0003</t>
  </si>
  <si>
    <t>Diego</t>
  </si>
  <si>
    <t>(11) 90000-0004</t>
  </si>
  <si>
    <t>Elisa</t>
  </si>
  <si>
    <t>(11) 90000-0005</t>
  </si>
  <si>
    <t>Felipe</t>
  </si>
  <si>
    <t>(11) 90000-0006</t>
  </si>
  <si>
    <t>Gabriela</t>
  </si>
  <si>
    <t>(11) 90000-0007</t>
  </si>
  <si>
    <t>Hugo</t>
  </si>
  <si>
    <t>(11) 90000-0008</t>
  </si>
  <si>
    <t>Isabela</t>
  </si>
  <si>
    <t>(11) 90000-0009</t>
  </si>
  <si>
    <t>João</t>
  </si>
  <si>
    <t>(11) 90000-0010</t>
  </si>
  <si>
    <t>STATUS EMPRÉSTIMOS</t>
  </si>
  <si>
    <t>QUANTIDADE DE PARTICIPANTES</t>
  </si>
  <si>
    <t>JUROS DO EMPRÉSTIMO</t>
  </si>
  <si>
    <t>CONTRIBUIÇÃO PADRÃO MENSAL</t>
  </si>
  <si>
    <t>DATA PGTO</t>
  </si>
  <si>
    <t>PARTICIPANTE</t>
  </si>
  <si>
    <t>VALOR PAGO</t>
  </si>
  <si>
    <t>OBSERVAÇÃO</t>
  </si>
  <si>
    <t>ID EMPRÉSTIMOS</t>
  </si>
  <si>
    <t>VALOR EMPRESTADO</t>
  </si>
  <si>
    <t>JUROS</t>
  </si>
  <si>
    <t>TOTAL A PAGAR</t>
  </si>
  <si>
    <t>TOTAL PAGO</t>
  </si>
  <si>
    <t>SALDO EM ABERTO</t>
  </si>
  <si>
    <t>STATUS</t>
  </si>
  <si>
    <t>1111</t>
  </si>
  <si>
    <t>1112</t>
  </si>
  <si>
    <t>1113</t>
  </si>
  <si>
    <t>1114</t>
  </si>
  <si>
    <t>1115</t>
  </si>
  <si>
    <t>1116</t>
  </si>
  <si>
    <t>CONTRIBUIÇÕES RECEBIDAS</t>
  </si>
  <si>
    <t>EMPRÉSTIMOS LIBERADOS</t>
  </si>
  <si>
    <t>RECEBIMENTOS DE EMPRÉSTIMOS</t>
  </si>
  <si>
    <t>RESULTADO DO MÊS</t>
  </si>
  <si>
    <t>SALDO FINAL</t>
  </si>
  <si>
    <t>[ PLANILHA CAIXINHA ENTRE AMIGOS ] - CONTROLE DE PARTICIPANTES</t>
  </si>
  <si>
    <t>[ PLANILHA CAIXINHA ENTRE AMIGOS ] - EMPRÉSTIMOS</t>
  </si>
  <si>
    <t>[ PLANILHA CAIXINHA ENTRE AMIGOS ] - PAGAMENTOS DE EMPRÉSTIMOS</t>
  </si>
  <si>
    <t>[ PLANILHA CAIXINHA ENTRE AMIGOS ] - FLUXO MENSAL</t>
  </si>
  <si>
    <t>[ PLANILHA CAIXINHA ENTRE AMIGOS ] - BÔNUS E INFORMAÇÕES ADICIONAIS</t>
  </si>
  <si>
    <t>[ PLANILHA CAIXINHA ENTRE AMIGOS ] - REGISTRO DAS CONTRIBUIÇÕES</t>
  </si>
  <si>
    <t>QUANTIDADE DE MESES JÁ PAGOS</t>
  </si>
  <si>
    <t>CONTRIBUIÇÃO</t>
  </si>
  <si>
    <t>EMPRÉSTIMOS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</si>
</sst>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&quot;R$&quot;\ * #,##0.00_-;\-&quot;R$&quot;\ * #,##0.00_-;_-&quot;R$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10622F"/>
        <bgColor indexed="64"/>
      </patternFill>
    </fill>
    <fill>
      <patternFill patternType="solid">
        <fgColor rgb="FF070F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D5EA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ck">
        <color rgb="FF2D5EA9"/>
      </bottom>
      <diagonal/>
    </border>
    <border>
      <left style="medium">
        <color theme="6"/>
      </left>
      <right/>
      <top style="medium">
        <color theme="6"/>
      </top>
      <bottom/>
      <diagonal/>
    </border>
    <border>
      <left/>
      <right/>
      <top style="medium">
        <color theme="6"/>
      </top>
      <bottom/>
      <diagonal/>
    </border>
    <border>
      <left/>
      <right style="medium">
        <color theme="6"/>
      </right>
      <top style="medium">
        <color theme="6"/>
      </top>
      <bottom/>
      <diagonal/>
    </border>
    <border>
      <left style="medium">
        <color theme="6"/>
      </left>
      <right/>
      <top/>
      <bottom/>
      <diagonal/>
    </border>
    <border>
      <left/>
      <right style="medium">
        <color theme="6"/>
      </right>
      <top/>
      <bottom/>
      <diagonal/>
    </border>
    <border>
      <left style="medium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medium">
        <color theme="6"/>
      </right>
      <top style="thin">
        <color theme="6"/>
      </top>
      <bottom style="thin">
        <color theme="6"/>
      </bottom>
      <diagonal/>
    </border>
    <border>
      <left style="medium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medium">
        <color theme="6"/>
      </right>
      <top style="thin">
        <color theme="6"/>
      </top>
      <bottom/>
      <diagonal/>
    </border>
    <border>
      <left style="medium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medium">
        <color theme="6"/>
      </right>
      <top/>
      <bottom style="thin">
        <color theme="6"/>
      </bottom>
      <diagonal/>
    </border>
    <border>
      <left style="medium">
        <color theme="6"/>
      </left>
      <right/>
      <top/>
      <bottom style="medium">
        <color theme="6"/>
      </bottom>
      <diagonal/>
    </border>
    <border>
      <left/>
      <right/>
      <top/>
      <bottom style="medium">
        <color theme="6"/>
      </bottom>
      <diagonal/>
    </border>
    <border>
      <left/>
      <right style="medium">
        <color theme="6"/>
      </right>
      <top/>
      <bottom style="medium">
        <color theme="6"/>
      </bottom>
      <diagonal/>
    </border>
    <border>
      <left style="thin">
        <color theme="6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6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6"/>
      </left>
      <right style="thin">
        <color theme="0" tint="-4.9989318521683403E-2"/>
      </right>
      <top style="thin">
        <color theme="0" tint="-4.9989318521683403E-2"/>
      </top>
      <bottom style="thin">
        <color theme="6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6"/>
      </bottom>
      <diagonal/>
    </border>
    <border>
      <left style="thin">
        <color theme="0" tint="-4.9989318521683403E-2"/>
      </left>
      <right style="thin">
        <color theme="6"/>
      </right>
      <top style="thin">
        <color theme="0" tint="-4.9989318521683403E-2"/>
      </top>
      <bottom style="thin">
        <color theme="6"/>
      </bottom>
      <diagonal/>
    </border>
    <border>
      <left style="thin">
        <color theme="6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6"/>
      </right>
      <top/>
      <bottom style="thin">
        <color theme="0" tint="-4.9989318521683403E-2"/>
      </bottom>
      <diagonal/>
    </border>
    <border>
      <left style="thin">
        <color theme="6"/>
      </left>
      <right style="thin">
        <color theme="0" tint="-4.9989318521683403E-2"/>
      </right>
      <top style="thin">
        <color theme="6"/>
      </top>
      <bottom style="medium">
        <color theme="6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6"/>
      </top>
      <bottom style="medium">
        <color theme="6"/>
      </bottom>
      <diagonal/>
    </border>
    <border>
      <left style="thin">
        <color theme="0" tint="-4.9989318521683403E-2"/>
      </left>
      <right style="thin">
        <color theme="6"/>
      </right>
      <top style="thin">
        <color theme="6"/>
      </top>
      <bottom style="medium">
        <color theme="6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2" fillId="4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4" fontId="0" fillId="5" borderId="0" xfId="1" applyFont="1" applyFill="1" applyAlignment="1">
      <alignment vertical="center" wrapText="1"/>
    </xf>
    <xf numFmtId="0" fontId="0" fillId="5" borderId="0" xfId="0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 indent="1"/>
    </xf>
    <xf numFmtId="44" fontId="0" fillId="5" borderId="1" xfId="1" applyFont="1" applyFill="1" applyBorder="1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44" fontId="0" fillId="0" borderId="0" xfId="1" applyFont="1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16" fontId="0" fillId="0" borderId="0" xfId="0" applyNumberFormat="1" applyAlignment="1">
      <alignment vertical="center"/>
    </xf>
    <xf numFmtId="44" fontId="0" fillId="5" borderId="21" xfId="1" applyFont="1" applyFill="1" applyBorder="1" applyAlignment="1">
      <alignment vertical="center" wrapText="1"/>
    </xf>
    <xf numFmtId="44" fontId="0" fillId="5" borderId="22" xfId="1" applyFont="1" applyFill="1" applyBorder="1" applyAlignment="1">
      <alignment vertical="center" wrapText="1"/>
    </xf>
    <xf numFmtId="44" fontId="0" fillId="5" borderId="24" xfId="1" applyFont="1" applyFill="1" applyBorder="1" applyAlignment="1">
      <alignment vertical="center" wrapText="1"/>
    </xf>
    <xf numFmtId="44" fontId="0" fillId="5" borderId="25" xfId="1" applyFont="1" applyFill="1" applyBorder="1" applyAlignment="1">
      <alignment vertical="center" wrapText="1"/>
    </xf>
    <xf numFmtId="44" fontId="0" fillId="5" borderId="27" xfId="1" applyFont="1" applyFill="1" applyBorder="1" applyAlignment="1">
      <alignment vertical="center" wrapText="1"/>
    </xf>
    <xf numFmtId="44" fontId="0" fillId="5" borderId="28" xfId="1" applyFont="1" applyFill="1" applyBorder="1" applyAlignment="1">
      <alignment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vertical="center"/>
    </xf>
    <xf numFmtId="9" fontId="0" fillId="0" borderId="0" xfId="2" applyFont="1" applyBorder="1" applyAlignment="1">
      <alignment horizontal="center" vertical="center"/>
    </xf>
    <xf numFmtId="0" fontId="5" fillId="0" borderId="0" xfId="0" applyFont="1" applyAlignment="1">
      <alignment horizontal="right" vertical="center" indent="1"/>
    </xf>
    <xf numFmtId="0" fontId="16" fillId="7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9"/>
    </xf>
    <xf numFmtId="0" fontId="10" fillId="0" borderId="0" xfId="0" applyFont="1" applyAlignment="1">
      <alignment horizontal="left" vertical="center" indent="9"/>
    </xf>
    <xf numFmtId="0" fontId="10" fillId="0" borderId="7" xfId="0" applyFont="1" applyBorder="1" applyAlignment="1">
      <alignment horizontal="left" vertical="center" indent="9"/>
    </xf>
    <xf numFmtId="0" fontId="10" fillId="0" borderId="6" xfId="0" applyFont="1" applyBorder="1" applyAlignment="1">
      <alignment horizontal="left" vertical="center" wrapText="1" indent="9"/>
    </xf>
    <xf numFmtId="0" fontId="10" fillId="0" borderId="0" xfId="0" applyFont="1" applyAlignment="1">
      <alignment horizontal="left" vertical="center" wrapText="1" indent="9"/>
    </xf>
    <xf numFmtId="0" fontId="10" fillId="0" borderId="7" xfId="0" applyFont="1" applyBorder="1" applyAlignment="1">
      <alignment horizontal="left" vertical="center" wrapText="1" indent="9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 indent="1"/>
    </xf>
    <xf numFmtId="0" fontId="13" fillId="0" borderId="0" xfId="0" applyFont="1" applyAlignment="1">
      <alignment horizontal="left" vertical="center" wrapText="1" indent="1"/>
    </xf>
    <xf numFmtId="0" fontId="13" fillId="0" borderId="7" xfId="0" applyFont="1" applyBorder="1" applyAlignment="1">
      <alignment horizontal="left" vertical="center" wrapText="1" indent="1"/>
    </xf>
    <xf numFmtId="0" fontId="13" fillId="0" borderId="6" xfId="0" applyFont="1" applyBorder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3" fillId="0" borderId="7" xfId="0" applyFont="1" applyBorder="1" applyAlignment="1">
      <alignment horizontal="left" vertical="center" inden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15" fillId="6" borderId="19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45">
    <dxf>
      <font>
        <color rgb="FFC00000"/>
      </font>
    </dxf>
    <dxf>
      <font>
        <color theme="5" tint="-0.499984740745262"/>
      </font>
      <fill>
        <patternFill>
          <bgColor theme="7" tint="0.79998168889431442"/>
        </patternFill>
      </fill>
    </dxf>
    <dxf>
      <font>
        <color rgb="FFFF0000"/>
      </font>
    </dxf>
    <dxf>
      <font>
        <color theme="5" tint="-0.499984740745262"/>
      </font>
      <fill>
        <patternFill>
          <bgColor theme="7" tint="0.79998168889431442"/>
        </patternFill>
      </fill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70F62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-&quot;R$&quot;\ * #,##0.00_-;\-&quot;R$&quot;\ * #,##0.00_-;_-&quot;R$&quot;\ * &quot;-&quot;??_-;_-@_-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70F62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70F62"/>
        </patternFill>
      </fill>
      <alignment horizontal="center" vertical="center" textRotation="0" wrapText="1" indent="0" justifyLastLine="0" shrinkToFit="0" readingOrder="0"/>
    </dxf>
    <dxf>
      <numFmt numFmtId="34" formatCode="_-&quot;R$&quot;\ * #,##0.00_-;\-&quot;R$&quot;\ * #,##0.00_-;_-&quot;R$&quot;\ * &quot;-&quot;??_-;_-@_-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-&quot;R$&quot;\ * #,##0.00_-;\-&quot;R$&quot;\ * #,##0.00_-;_-&quot;R$&quot;\ * &quot;-&quot;??_-;_-@_-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</dxf>
    <dxf>
      <numFmt numFmtId="34" formatCode="_-&quot;R$&quot;\ * #,##0.00_-;\-&quot;R$&quot;\ * #,##0.00_-;_-&quot;R$&quot;\ * &quot;-&quot;??_-;_-@_-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</dxf>
    <dxf>
      <numFmt numFmtId="34" formatCode="_-&quot;R$&quot;\ * #,##0.00_-;\-&quot;R$&quot;\ * #,##0.00_-;_-&quot;R$&quot;\ * &quot;-&quot;??_-;_-@_-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-&quot;R$&quot;\ * #,##0.00_-;\-&quot;R$&quot;\ * #,##0.00_-;_-&quot;R$&quot;\ * &quot;-&quot;??_-;_-@_-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</dxf>
    <dxf>
      <numFmt numFmtId="34" formatCode="_-&quot;R$&quot;\ * #,##0.00_-;\-&quot;R$&quot;\ * #,##0.00_-;_-&quot;R$&quot;\ * &quot;-&quot;??_-;_-@_-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70F62"/>
        </patternFill>
      </fill>
      <alignment horizontal="center" vertical="center" textRotation="0" wrapText="1" indent="0" justifyLastLine="0" shrinkToFit="0" readingOrder="0"/>
    </dxf>
    <dxf>
      <font>
        <b/>
        <i val="0"/>
        <sz val="10"/>
        <color theme="0"/>
      </font>
      <border>
        <bottom style="thin">
          <color theme="6"/>
        </bottom>
        <vertical/>
        <horizontal/>
      </border>
    </dxf>
    <dxf>
      <font>
        <b val="0"/>
        <i val="0"/>
        <sz val="10"/>
        <color theme="1"/>
      </font>
      <fill>
        <patternFill>
          <bgColor theme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licerStyleLight3 2 2" pivot="0" table="0" count="10" xr9:uid="{763C8E15-6B7F-4AD2-9B8F-B6F2D515E6CD}">
      <tableStyleElement type="wholeTable" dxfId="44"/>
      <tableStyleElement type="headerRow" dxfId="43"/>
    </tableStyle>
  </tableStyles>
  <colors>
    <mruColors>
      <color rgb="FFD51117"/>
      <color rgb="FF070F62"/>
      <color rgb="FF10622F"/>
      <color rgb="FF565657"/>
      <color rgb="FF0F5299"/>
      <color rgb="FFF8F8F8"/>
      <color rgb="FFEE191F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10"/>
            <color rgb="FF828282"/>
          </font>
          <fill>
            <patternFill patternType="solid">
              <fgColor theme="6" tint="0.79998168889431442"/>
              <bgColor theme="6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sz val="10"/>
            <color rgb="FF000000"/>
          </font>
          <fill>
            <patternFill patternType="solid">
              <fgColor theme="6" tint="0.59999389629810485"/>
              <bgColor theme="4" tint="0.599963377788628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3 2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&#212;NUS!A1"/><Relationship Id="rId3" Type="http://schemas.openxmlformats.org/officeDocument/2006/relationships/hyperlink" Target="#PARTICIPANTES!A1"/><Relationship Id="rId7" Type="http://schemas.openxmlformats.org/officeDocument/2006/relationships/hyperlink" Target="#FLUXO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PGTO EMPRESTIMOS'!A1"/><Relationship Id="rId5" Type="http://schemas.openxmlformats.org/officeDocument/2006/relationships/hyperlink" Target="#EMPRESTIMOS!A1"/><Relationship Id="rId4" Type="http://schemas.openxmlformats.org/officeDocument/2006/relationships/hyperlink" Target="#CONTRIBUI&#199;&#213;ES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B&#212;NUS!A1"/><Relationship Id="rId3" Type="http://schemas.openxmlformats.org/officeDocument/2006/relationships/hyperlink" Target="#PARTICIPANTES!A1"/><Relationship Id="rId7" Type="http://schemas.openxmlformats.org/officeDocument/2006/relationships/hyperlink" Target="#FLUXO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PGTO EMPRESTIMOS'!A1"/><Relationship Id="rId5" Type="http://schemas.openxmlformats.org/officeDocument/2006/relationships/hyperlink" Target="#EMPRESTIMOS!A1"/><Relationship Id="rId4" Type="http://schemas.openxmlformats.org/officeDocument/2006/relationships/hyperlink" Target="#CONTRIBUI&#199;&#213;ES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B&#212;NUS!A1"/><Relationship Id="rId3" Type="http://schemas.openxmlformats.org/officeDocument/2006/relationships/hyperlink" Target="#PARTICIPANTES!A1"/><Relationship Id="rId7" Type="http://schemas.openxmlformats.org/officeDocument/2006/relationships/hyperlink" Target="#FLUXO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PGTO EMPRESTIMOS'!A1"/><Relationship Id="rId5" Type="http://schemas.openxmlformats.org/officeDocument/2006/relationships/hyperlink" Target="#EMPRESTIMOS!A1"/><Relationship Id="rId4" Type="http://schemas.openxmlformats.org/officeDocument/2006/relationships/hyperlink" Target="#CONTRIBUI&#199;&#213;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B&#212;NUS!A1"/><Relationship Id="rId3" Type="http://schemas.openxmlformats.org/officeDocument/2006/relationships/hyperlink" Target="#PARTICIPANTES!A1"/><Relationship Id="rId7" Type="http://schemas.openxmlformats.org/officeDocument/2006/relationships/hyperlink" Target="#FLUXO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PGTO EMPRESTIMOS'!A1"/><Relationship Id="rId5" Type="http://schemas.openxmlformats.org/officeDocument/2006/relationships/hyperlink" Target="#EMPRESTIMOS!A1"/><Relationship Id="rId4" Type="http://schemas.openxmlformats.org/officeDocument/2006/relationships/hyperlink" Target="#CONTRIBUI&#199;&#213;ES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B&#212;NUS!A1"/><Relationship Id="rId3" Type="http://schemas.openxmlformats.org/officeDocument/2006/relationships/hyperlink" Target="#PARTICIPANTES!A1"/><Relationship Id="rId7" Type="http://schemas.openxmlformats.org/officeDocument/2006/relationships/hyperlink" Target="#FLUXO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PGTO EMPRESTIMOS'!A1"/><Relationship Id="rId5" Type="http://schemas.openxmlformats.org/officeDocument/2006/relationships/hyperlink" Target="#EMPRESTIMOS!A1"/><Relationship Id="rId4" Type="http://schemas.openxmlformats.org/officeDocument/2006/relationships/hyperlink" Target="#CONTRIBUI&#199;&#213;ES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hyperlink" Target="#EMPRESTIMOS!A1"/><Relationship Id="rId3" Type="http://schemas.openxmlformats.org/officeDocument/2006/relationships/image" Target="../media/image5.png"/><Relationship Id="rId7" Type="http://schemas.openxmlformats.org/officeDocument/2006/relationships/image" Target="../media/image7.png"/><Relationship Id="rId12" Type="http://schemas.openxmlformats.org/officeDocument/2006/relationships/hyperlink" Target="#CONTRIBUI&#199;&#213;ES!A1"/><Relationship Id="rId2" Type="http://schemas.openxmlformats.org/officeDocument/2006/relationships/image" Target="../media/image4.png"/><Relationship Id="rId16" Type="http://schemas.openxmlformats.org/officeDocument/2006/relationships/hyperlink" Target="#B&#212;NUS!A1"/><Relationship Id="rId1" Type="http://schemas.openxmlformats.org/officeDocument/2006/relationships/image" Target="../media/image3.png"/><Relationship Id="rId6" Type="http://schemas.openxmlformats.org/officeDocument/2006/relationships/hyperlink" Target="https://maxplanilhas.com.br/formulario-de-planilhas-personalizadas/" TargetMode="External"/><Relationship Id="rId11" Type="http://schemas.openxmlformats.org/officeDocument/2006/relationships/hyperlink" Target="#PARTICIPANTES!A1"/><Relationship Id="rId5" Type="http://schemas.openxmlformats.org/officeDocument/2006/relationships/image" Target="../media/image6.png"/><Relationship Id="rId15" Type="http://schemas.openxmlformats.org/officeDocument/2006/relationships/hyperlink" Target="#FLUXO!A1"/><Relationship Id="rId10" Type="http://schemas.openxmlformats.org/officeDocument/2006/relationships/image" Target="../media/image2.png"/><Relationship Id="rId4" Type="http://schemas.openxmlformats.org/officeDocument/2006/relationships/hyperlink" Target="https://maxplanilhas.com.br/loja/" TargetMode="External"/><Relationship Id="rId9" Type="http://schemas.openxmlformats.org/officeDocument/2006/relationships/image" Target="../media/image1.png"/><Relationship Id="rId14" Type="http://schemas.openxmlformats.org/officeDocument/2006/relationships/hyperlink" Target="#'PGTO EMPRESTIMO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1095375</xdr:colOff>
      <xdr:row>0</xdr:row>
      <xdr:rowOff>0</xdr:rowOff>
    </xdr:from>
    <xdr:to>
      <xdr:col>29</xdr:col>
      <xdr:colOff>406599</xdr:colOff>
      <xdr:row>3</xdr:row>
      <xdr:rowOff>66581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E8A4647-D4A9-4F34-9F39-3711704D9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0"/>
          <a:ext cx="23809524" cy="752381"/>
        </a:xfrm>
        <a:prstGeom prst="rect">
          <a:avLst/>
        </a:prstGeom>
      </xdr:spPr>
    </xdr:pic>
    <xdr:clientData/>
  </xdr:twoCellAnchor>
  <xdr:twoCellAnchor editAs="absolute">
    <xdr:from>
      <xdr:col>0</xdr:col>
      <xdr:colOff>76200</xdr:colOff>
      <xdr:row>0</xdr:row>
      <xdr:rowOff>38100</xdr:rowOff>
    </xdr:from>
    <xdr:to>
      <xdr:col>1</xdr:col>
      <xdr:colOff>1029500</xdr:colOff>
      <xdr:row>2</xdr:row>
      <xdr:rowOff>192900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A1A2C9B-9111-42B5-9BBD-3541F93C7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0"/>
          <a:ext cx="1067600" cy="612000"/>
        </a:xfrm>
        <a:prstGeom prst="rect">
          <a:avLst/>
        </a:prstGeom>
      </xdr:spPr>
    </xdr:pic>
    <xdr:clientData/>
  </xdr:twoCellAnchor>
  <xdr:twoCellAnchor editAs="absolute">
    <xdr:from>
      <xdr:col>1</xdr:col>
      <xdr:colOff>1209675</xdr:colOff>
      <xdr:row>1</xdr:row>
      <xdr:rowOff>112275</xdr:rowOff>
    </xdr:from>
    <xdr:to>
      <xdr:col>2</xdr:col>
      <xdr:colOff>18525</xdr:colOff>
      <xdr:row>2</xdr:row>
      <xdr:rowOff>171675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B45679C-8964-4E04-9460-0026FDC95085}"/>
            </a:ext>
          </a:extLst>
        </xdr:cNvPr>
        <xdr:cNvSpPr/>
      </xdr:nvSpPr>
      <xdr:spPr>
        <a:xfrm>
          <a:off x="1323975" y="340875"/>
          <a:ext cx="1152000" cy="288000"/>
        </a:xfrm>
        <a:prstGeom prst="roundRect">
          <a:avLst/>
        </a:prstGeom>
        <a:solidFill>
          <a:srgbClr val="2D5EA9"/>
        </a:solidFill>
        <a:ln w="12700">
          <a:solidFill>
            <a:srgbClr val="10622F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bg1"/>
              </a:solidFill>
            </a:rPr>
            <a:t>PARTICIPANTES</a:t>
          </a:r>
        </a:p>
      </xdr:txBody>
    </xdr:sp>
    <xdr:clientData/>
  </xdr:twoCellAnchor>
  <xdr:twoCellAnchor editAs="absolute">
    <xdr:from>
      <xdr:col>2</xdr:col>
      <xdr:colOff>97050</xdr:colOff>
      <xdr:row>1</xdr:row>
      <xdr:rowOff>112275</xdr:rowOff>
    </xdr:from>
    <xdr:to>
      <xdr:col>2</xdr:col>
      <xdr:colOff>1249050</xdr:colOff>
      <xdr:row>2</xdr:row>
      <xdr:rowOff>171675</xdr:rowOff>
    </xdr:to>
    <xdr:sp macro="" textlink="">
      <xdr:nvSpPr>
        <xdr:cNvPr id="6" name="Retângulo: Cantos Arredondado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867F91-92D1-48E5-BDCB-E941D43EA83E}"/>
            </a:ext>
          </a:extLst>
        </xdr:cNvPr>
        <xdr:cNvSpPr/>
      </xdr:nvSpPr>
      <xdr:spPr>
        <a:xfrm>
          <a:off x="2554500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CONTRIBUIÇÕES</a:t>
          </a:r>
        </a:p>
      </xdr:txBody>
    </xdr:sp>
    <xdr:clientData/>
  </xdr:twoCellAnchor>
  <xdr:twoCellAnchor editAs="absolute">
    <xdr:from>
      <xdr:col>2</xdr:col>
      <xdr:colOff>1327575</xdr:colOff>
      <xdr:row>1</xdr:row>
      <xdr:rowOff>112275</xdr:rowOff>
    </xdr:from>
    <xdr:to>
      <xdr:col>3</xdr:col>
      <xdr:colOff>1041300</xdr:colOff>
      <xdr:row>2</xdr:row>
      <xdr:rowOff>171675</xdr:rowOff>
    </xdr:to>
    <xdr:sp macro="" textlink="">
      <xdr:nvSpPr>
        <xdr:cNvPr id="7" name="Retângulo: Cantos Arredondado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266249-4E1E-4B8B-A405-92A2EF296D91}"/>
            </a:ext>
          </a:extLst>
        </xdr:cNvPr>
        <xdr:cNvSpPr/>
      </xdr:nvSpPr>
      <xdr:spPr>
        <a:xfrm>
          <a:off x="3785025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EMPRÉSTIMOS</a:t>
          </a:r>
        </a:p>
      </xdr:txBody>
    </xdr:sp>
    <xdr:clientData/>
  </xdr:twoCellAnchor>
  <xdr:twoCellAnchor editAs="absolute">
    <xdr:from>
      <xdr:col>3</xdr:col>
      <xdr:colOff>1119825</xdr:colOff>
      <xdr:row>1</xdr:row>
      <xdr:rowOff>112275</xdr:rowOff>
    </xdr:from>
    <xdr:to>
      <xdr:col>4</xdr:col>
      <xdr:colOff>938850</xdr:colOff>
      <xdr:row>2</xdr:row>
      <xdr:rowOff>171675</xdr:rowOff>
    </xdr:to>
    <xdr:sp macro="" textlink="">
      <xdr:nvSpPr>
        <xdr:cNvPr id="12" name="Retângulo: Cantos Arredondados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0A5CD9E-4C3A-9FFA-16F6-26CA329FFFE3}"/>
            </a:ext>
          </a:extLst>
        </xdr:cNvPr>
        <xdr:cNvSpPr/>
      </xdr:nvSpPr>
      <xdr:spPr>
        <a:xfrm>
          <a:off x="5015550" y="340875"/>
          <a:ext cx="135255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PGTO</a:t>
          </a:r>
          <a:r>
            <a:rPr lang="pt-BR" sz="1000" b="0" baseline="0">
              <a:solidFill>
                <a:schemeClr val="tx1"/>
              </a:solidFill>
            </a:rPr>
            <a:t> EMPRESTIMOS</a:t>
          </a:r>
          <a:endParaRPr lang="pt-BR" sz="1000" b="0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5</xdr:col>
      <xdr:colOff>17250</xdr:colOff>
      <xdr:row>1</xdr:row>
      <xdr:rowOff>112275</xdr:rowOff>
    </xdr:from>
    <xdr:to>
      <xdr:col>6</xdr:col>
      <xdr:colOff>73875</xdr:colOff>
      <xdr:row>2</xdr:row>
      <xdr:rowOff>171675</xdr:rowOff>
    </xdr:to>
    <xdr:sp macro="" textlink="">
      <xdr:nvSpPr>
        <xdr:cNvPr id="2" name="Retângulo: Cantos Arredondados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8A7FEC6-35AF-0F13-A51E-6D3946C7DD75}"/>
            </a:ext>
          </a:extLst>
        </xdr:cNvPr>
        <xdr:cNvSpPr/>
      </xdr:nvSpPr>
      <xdr:spPr>
        <a:xfrm>
          <a:off x="6446625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FLUXO MENSAL</a:t>
          </a:r>
        </a:p>
      </xdr:txBody>
    </xdr:sp>
    <xdr:clientData/>
  </xdr:twoCellAnchor>
  <xdr:twoCellAnchor editAs="absolute">
    <xdr:from>
      <xdr:col>6</xdr:col>
      <xdr:colOff>152400</xdr:colOff>
      <xdr:row>1</xdr:row>
      <xdr:rowOff>112275</xdr:rowOff>
    </xdr:from>
    <xdr:to>
      <xdr:col>7</xdr:col>
      <xdr:colOff>142350</xdr:colOff>
      <xdr:row>2</xdr:row>
      <xdr:rowOff>171675</xdr:rowOff>
    </xdr:to>
    <xdr:sp macro="" textlink="">
      <xdr:nvSpPr>
        <xdr:cNvPr id="10" name="Retângulo: Cantos Arredondados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18F5851-502A-18F1-F5D7-36197D6ED672}"/>
            </a:ext>
          </a:extLst>
        </xdr:cNvPr>
        <xdr:cNvSpPr/>
      </xdr:nvSpPr>
      <xdr:spPr>
        <a:xfrm>
          <a:off x="7677150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BÔNUS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1095375</xdr:colOff>
      <xdr:row>0</xdr:row>
      <xdr:rowOff>0</xdr:rowOff>
    </xdr:from>
    <xdr:to>
      <xdr:col>33</xdr:col>
      <xdr:colOff>539949</xdr:colOff>
      <xdr:row>3</xdr:row>
      <xdr:rowOff>66581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C987082-8598-4893-B9ED-34BA8BE01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0"/>
          <a:ext cx="23809524" cy="752381"/>
        </a:xfrm>
        <a:prstGeom prst="rect">
          <a:avLst/>
        </a:prstGeom>
      </xdr:spPr>
    </xdr:pic>
    <xdr:clientData/>
  </xdr:twoCellAnchor>
  <xdr:twoCellAnchor editAs="absolute">
    <xdr:from>
      <xdr:col>0</xdr:col>
      <xdr:colOff>76200</xdr:colOff>
      <xdr:row>0</xdr:row>
      <xdr:rowOff>38100</xdr:rowOff>
    </xdr:from>
    <xdr:to>
      <xdr:col>1</xdr:col>
      <xdr:colOff>1029500</xdr:colOff>
      <xdr:row>2</xdr:row>
      <xdr:rowOff>192900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351A84-EA31-416F-97C7-70C10737F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0"/>
          <a:ext cx="1067600" cy="612000"/>
        </a:xfrm>
        <a:prstGeom prst="rect">
          <a:avLst/>
        </a:prstGeom>
      </xdr:spPr>
    </xdr:pic>
    <xdr:clientData/>
  </xdr:twoCellAnchor>
  <xdr:twoCellAnchor editAs="absolute">
    <xdr:from>
      <xdr:col>2</xdr:col>
      <xdr:colOff>19050</xdr:colOff>
      <xdr:row>1</xdr:row>
      <xdr:rowOff>112275</xdr:rowOff>
    </xdr:from>
    <xdr:to>
      <xdr:col>2</xdr:col>
      <xdr:colOff>1171050</xdr:colOff>
      <xdr:row>2</xdr:row>
      <xdr:rowOff>171675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0BDA782-7983-439E-8E8F-8DD2C071A63C}"/>
            </a:ext>
          </a:extLst>
        </xdr:cNvPr>
        <xdr:cNvSpPr/>
      </xdr:nvSpPr>
      <xdr:spPr>
        <a:xfrm>
          <a:off x="1323975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0">
              <a:solidFill>
                <a:schemeClr val="tx1"/>
              </a:solidFill>
              <a:latin typeface="+mn-lt"/>
              <a:ea typeface="+mn-ea"/>
              <a:cs typeface="+mn-cs"/>
            </a:rPr>
            <a:t>PARTICIPANTES</a:t>
          </a:r>
        </a:p>
      </xdr:txBody>
    </xdr:sp>
    <xdr:clientData/>
  </xdr:twoCellAnchor>
  <xdr:twoCellAnchor editAs="absolute">
    <xdr:from>
      <xdr:col>2</xdr:col>
      <xdr:colOff>1249575</xdr:colOff>
      <xdr:row>1</xdr:row>
      <xdr:rowOff>112275</xdr:rowOff>
    </xdr:from>
    <xdr:to>
      <xdr:col>2</xdr:col>
      <xdr:colOff>2401575</xdr:colOff>
      <xdr:row>2</xdr:row>
      <xdr:rowOff>171675</xdr:rowOff>
    </xdr:to>
    <xdr:sp macro="" textlink="">
      <xdr:nvSpPr>
        <xdr:cNvPr id="5" name="Retângulo: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162A0F-FE14-484C-ADFB-E5956128C6A6}"/>
            </a:ext>
          </a:extLst>
        </xdr:cNvPr>
        <xdr:cNvSpPr/>
      </xdr:nvSpPr>
      <xdr:spPr>
        <a:xfrm>
          <a:off x="2554500" y="340875"/>
          <a:ext cx="1152000" cy="288000"/>
        </a:xfrm>
        <a:prstGeom prst="roundRect">
          <a:avLst/>
        </a:prstGeom>
        <a:solidFill>
          <a:srgbClr val="2D5EA9"/>
        </a:solidFill>
        <a:ln w="12700">
          <a:solidFill>
            <a:srgbClr val="10622F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0">
              <a:solidFill>
                <a:schemeClr val="bg1"/>
              </a:solidFill>
              <a:latin typeface="+mn-lt"/>
              <a:ea typeface="+mn-ea"/>
              <a:cs typeface="+mn-cs"/>
            </a:rPr>
            <a:t>CONTRIBUIÇÕES</a:t>
          </a:r>
        </a:p>
      </xdr:txBody>
    </xdr:sp>
    <xdr:clientData/>
  </xdr:twoCellAnchor>
  <xdr:twoCellAnchor editAs="absolute">
    <xdr:from>
      <xdr:col>3</xdr:col>
      <xdr:colOff>22650</xdr:colOff>
      <xdr:row>1</xdr:row>
      <xdr:rowOff>112275</xdr:rowOff>
    </xdr:from>
    <xdr:to>
      <xdr:col>4</xdr:col>
      <xdr:colOff>107850</xdr:colOff>
      <xdr:row>2</xdr:row>
      <xdr:rowOff>171675</xdr:rowOff>
    </xdr:to>
    <xdr:sp macro="" textlink="">
      <xdr:nvSpPr>
        <xdr:cNvPr id="11" name="Retângulo: Cantos Arredondados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F3B36DA-808D-498C-9627-321B6110BD95}"/>
            </a:ext>
          </a:extLst>
        </xdr:cNvPr>
        <xdr:cNvSpPr/>
      </xdr:nvSpPr>
      <xdr:spPr>
        <a:xfrm>
          <a:off x="3785025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EMPRÉSTIMOS</a:t>
          </a:r>
        </a:p>
      </xdr:txBody>
    </xdr:sp>
    <xdr:clientData/>
  </xdr:twoCellAnchor>
  <xdr:twoCellAnchor editAs="absolute">
    <xdr:from>
      <xdr:col>4</xdr:col>
      <xdr:colOff>186375</xdr:colOff>
      <xdr:row>1</xdr:row>
      <xdr:rowOff>112275</xdr:rowOff>
    </xdr:from>
    <xdr:to>
      <xdr:col>4</xdr:col>
      <xdr:colOff>1538925</xdr:colOff>
      <xdr:row>2</xdr:row>
      <xdr:rowOff>171675</xdr:rowOff>
    </xdr:to>
    <xdr:sp macro="" textlink="">
      <xdr:nvSpPr>
        <xdr:cNvPr id="13" name="Retângulo: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4818117-11E1-4D46-A48C-07BFCEAD0F9B}"/>
            </a:ext>
          </a:extLst>
        </xdr:cNvPr>
        <xdr:cNvSpPr/>
      </xdr:nvSpPr>
      <xdr:spPr>
        <a:xfrm>
          <a:off x="5015550" y="340875"/>
          <a:ext cx="135255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PGTO</a:t>
          </a:r>
          <a:r>
            <a:rPr lang="pt-BR" sz="1000" b="0" baseline="0">
              <a:solidFill>
                <a:schemeClr val="tx1"/>
              </a:solidFill>
            </a:rPr>
            <a:t> EMPRESTIMOS</a:t>
          </a:r>
          <a:endParaRPr lang="pt-BR" sz="1000" b="0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4</xdr:col>
      <xdr:colOff>1617450</xdr:colOff>
      <xdr:row>1</xdr:row>
      <xdr:rowOff>112275</xdr:rowOff>
    </xdr:from>
    <xdr:to>
      <xdr:col>5</xdr:col>
      <xdr:colOff>416775</xdr:colOff>
      <xdr:row>2</xdr:row>
      <xdr:rowOff>171675</xdr:rowOff>
    </xdr:to>
    <xdr:sp macro="" textlink="">
      <xdr:nvSpPr>
        <xdr:cNvPr id="14" name="Retângulo: Cantos Arredondados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2708E60-5781-4777-B558-7B06E11FE640}"/>
            </a:ext>
          </a:extLst>
        </xdr:cNvPr>
        <xdr:cNvSpPr/>
      </xdr:nvSpPr>
      <xdr:spPr>
        <a:xfrm>
          <a:off x="6446625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FLUXO MENSAL</a:t>
          </a:r>
        </a:p>
      </xdr:txBody>
    </xdr:sp>
    <xdr:clientData/>
  </xdr:twoCellAnchor>
  <xdr:twoCellAnchor editAs="absolute">
    <xdr:from>
      <xdr:col>5</xdr:col>
      <xdr:colOff>495300</xdr:colOff>
      <xdr:row>1</xdr:row>
      <xdr:rowOff>112275</xdr:rowOff>
    </xdr:from>
    <xdr:to>
      <xdr:col>7</xdr:col>
      <xdr:colOff>199500</xdr:colOff>
      <xdr:row>2</xdr:row>
      <xdr:rowOff>171675</xdr:rowOff>
    </xdr:to>
    <xdr:sp macro="" textlink="">
      <xdr:nvSpPr>
        <xdr:cNvPr id="15" name="Retângulo: Cantos Arredondados 1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00AA253-8772-4EF3-9FF6-DF5748A68B41}"/>
            </a:ext>
          </a:extLst>
        </xdr:cNvPr>
        <xdr:cNvSpPr/>
      </xdr:nvSpPr>
      <xdr:spPr>
        <a:xfrm>
          <a:off x="7677150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BÔNUS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1095375</xdr:colOff>
      <xdr:row>0</xdr:row>
      <xdr:rowOff>0</xdr:rowOff>
    </xdr:from>
    <xdr:to>
      <xdr:col>33</xdr:col>
      <xdr:colOff>101799</xdr:colOff>
      <xdr:row>3</xdr:row>
      <xdr:rowOff>66581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2AAD63-37A8-4DF5-A7ED-4ED76091E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0"/>
          <a:ext cx="23809524" cy="752381"/>
        </a:xfrm>
        <a:prstGeom prst="rect">
          <a:avLst/>
        </a:prstGeom>
      </xdr:spPr>
    </xdr:pic>
    <xdr:clientData/>
  </xdr:twoCellAnchor>
  <xdr:twoCellAnchor editAs="absolute">
    <xdr:from>
      <xdr:col>0</xdr:col>
      <xdr:colOff>76200</xdr:colOff>
      <xdr:row>0</xdr:row>
      <xdr:rowOff>38100</xdr:rowOff>
    </xdr:from>
    <xdr:to>
      <xdr:col>1</xdr:col>
      <xdr:colOff>1029500</xdr:colOff>
      <xdr:row>2</xdr:row>
      <xdr:rowOff>192900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B23CEBE-2FD6-4E0A-A1EE-BD57E6F66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0"/>
          <a:ext cx="1067600" cy="612000"/>
        </a:xfrm>
        <a:prstGeom prst="rect">
          <a:avLst/>
        </a:prstGeom>
      </xdr:spPr>
    </xdr:pic>
    <xdr:clientData/>
  </xdr:twoCellAnchor>
  <xdr:twoCellAnchor editAs="absolute">
    <xdr:from>
      <xdr:col>2</xdr:col>
      <xdr:colOff>19050</xdr:colOff>
      <xdr:row>1</xdr:row>
      <xdr:rowOff>112275</xdr:rowOff>
    </xdr:from>
    <xdr:to>
      <xdr:col>2</xdr:col>
      <xdr:colOff>1171050</xdr:colOff>
      <xdr:row>2</xdr:row>
      <xdr:rowOff>171675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3081AA6-B0AD-4DA4-8283-2B8D7EE49071}"/>
            </a:ext>
          </a:extLst>
        </xdr:cNvPr>
        <xdr:cNvSpPr/>
      </xdr:nvSpPr>
      <xdr:spPr>
        <a:xfrm>
          <a:off x="1323975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0">
              <a:solidFill>
                <a:schemeClr val="tx1"/>
              </a:solidFill>
              <a:latin typeface="+mn-lt"/>
              <a:ea typeface="+mn-ea"/>
              <a:cs typeface="+mn-cs"/>
            </a:rPr>
            <a:t>PARTICIPANTES</a:t>
          </a:r>
        </a:p>
      </xdr:txBody>
    </xdr:sp>
    <xdr:clientData/>
  </xdr:twoCellAnchor>
  <xdr:twoCellAnchor editAs="absolute">
    <xdr:from>
      <xdr:col>3</xdr:col>
      <xdr:colOff>58950</xdr:colOff>
      <xdr:row>1</xdr:row>
      <xdr:rowOff>112275</xdr:rowOff>
    </xdr:from>
    <xdr:to>
      <xdr:col>3</xdr:col>
      <xdr:colOff>1210950</xdr:colOff>
      <xdr:row>2</xdr:row>
      <xdr:rowOff>171675</xdr:rowOff>
    </xdr:to>
    <xdr:sp macro="" textlink="">
      <xdr:nvSpPr>
        <xdr:cNvPr id="5" name="Retângulo: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F13151-9FC2-4FE5-9C7E-5209999DABD8}"/>
            </a:ext>
          </a:extLst>
        </xdr:cNvPr>
        <xdr:cNvSpPr/>
      </xdr:nvSpPr>
      <xdr:spPr>
        <a:xfrm>
          <a:off x="2554500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CONTRIBUIÇÕES</a:t>
          </a:r>
        </a:p>
      </xdr:txBody>
    </xdr:sp>
    <xdr:clientData/>
  </xdr:twoCellAnchor>
  <xdr:twoCellAnchor editAs="absolute">
    <xdr:from>
      <xdr:col>3</xdr:col>
      <xdr:colOff>1289475</xdr:colOff>
      <xdr:row>1</xdr:row>
      <xdr:rowOff>112275</xdr:rowOff>
    </xdr:from>
    <xdr:to>
      <xdr:col>3</xdr:col>
      <xdr:colOff>2441475</xdr:colOff>
      <xdr:row>2</xdr:row>
      <xdr:rowOff>171675</xdr:rowOff>
    </xdr:to>
    <xdr:sp macro="" textlink="">
      <xdr:nvSpPr>
        <xdr:cNvPr id="6" name="Retângulo: Cantos Arredondado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04DF200-6501-417D-93F1-0E5AE5393A2F}"/>
            </a:ext>
          </a:extLst>
        </xdr:cNvPr>
        <xdr:cNvSpPr/>
      </xdr:nvSpPr>
      <xdr:spPr>
        <a:xfrm>
          <a:off x="3785025" y="340875"/>
          <a:ext cx="1152000" cy="288000"/>
        </a:xfrm>
        <a:prstGeom prst="roundRect">
          <a:avLst/>
        </a:prstGeom>
        <a:solidFill>
          <a:srgbClr val="2D5EA9"/>
        </a:solidFill>
        <a:ln w="12700">
          <a:solidFill>
            <a:srgbClr val="10622F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0">
              <a:solidFill>
                <a:schemeClr val="bg1"/>
              </a:solidFill>
              <a:latin typeface="+mn-lt"/>
              <a:ea typeface="+mn-ea"/>
              <a:cs typeface="+mn-cs"/>
            </a:rPr>
            <a:t>EMPRÉSTIMOS</a:t>
          </a:r>
        </a:p>
      </xdr:txBody>
    </xdr:sp>
    <xdr:clientData/>
  </xdr:twoCellAnchor>
  <xdr:twoCellAnchor editAs="absolute">
    <xdr:from>
      <xdr:col>4</xdr:col>
      <xdr:colOff>62550</xdr:colOff>
      <xdr:row>1</xdr:row>
      <xdr:rowOff>112275</xdr:rowOff>
    </xdr:from>
    <xdr:to>
      <xdr:col>5</xdr:col>
      <xdr:colOff>348300</xdr:colOff>
      <xdr:row>2</xdr:row>
      <xdr:rowOff>171675</xdr:rowOff>
    </xdr:to>
    <xdr:sp macro="" textlink="">
      <xdr:nvSpPr>
        <xdr:cNvPr id="7" name="Retângulo: Cantos Arredondado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3573933-41B1-49C1-AFA4-59C635F9A309}"/>
            </a:ext>
          </a:extLst>
        </xdr:cNvPr>
        <xdr:cNvSpPr/>
      </xdr:nvSpPr>
      <xdr:spPr>
        <a:xfrm>
          <a:off x="5015550" y="340875"/>
          <a:ext cx="135255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PGTO</a:t>
          </a:r>
          <a:r>
            <a:rPr lang="pt-BR" sz="1000" b="0" baseline="0">
              <a:solidFill>
                <a:schemeClr val="tx1"/>
              </a:solidFill>
            </a:rPr>
            <a:t> EMPRESTIMOS</a:t>
          </a:r>
          <a:endParaRPr lang="pt-BR" sz="1000" b="0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5</xdr:col>
      <xdr:colOff>426825</xdr:colOff>
      <xdr:row>1</xdr:row>
      <xdr:rowOff>112275</xdr:rowOff>
    </xdr:from>
    <xdr:to>
      <xdr:col>6</xdr:col>
      <xdr:colOff>740625</xdr:colOff>
      <xdr:row>2</xdr:row>
      <xdr:rowOff>171675</xdr:rowOff>
    </xdr:to>
    <xdr:sp macro="" textlink="">
      <xdr:nvSpPr>
        <xdr:cNvPr id="8" name="Retângulo: Cantos Arredondados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B2C9AFA-4A06-450D-87AB-2891939592DD}"/>
            </a:ext>
          </a:extLst>
        </xdr:cNvPr>
        <xdr:cNvSpPr/>
      </xdr:nvSpPr>
      <xdr:spPr>
        <a:xfrm>
          <a:off x="6446625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FLUXO MENSAL</a:t>
          </a:r>
        </a:p>
      </xdr:txBody>
    </xdr:sp>
    <xdr:clientData/>
  </xdr:twoCellAnchor>
  <xdr:twoCellAnchor editAs="absolute">
    <xdr:from>
      <xdr:col>7</xdr:col>
      <xdr:colOff>9525</xdr:colOff>
      <xdr:row>1</xdr:row>
      <xdr:rowOff>112275</xdr:rowOff>
    </xdr:from>
    <xdr:to>
      <xdr:col>8</xdr:col>
      <xdr:colOff>123300</xdr:colOff>
      <xdr:row>2</xdr:row>
      <xdr:rowOff>171675</xdr:rowOff>
    </xdr:to>
    <xdr:sp macro="" textlink="">
      <xdr:nvSpPr>
        <xdr:cNvPr id="9" name="Retângulo: Cantos Arredondados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0860638-E5CA-4796-9A79-5AFE01CD0E1A}"/>
            </a:ext>
          </a:extLst>
        </xdr:cNvPr>
        <xdr:cNvSpPr/>
      </xdr:nvSpPr>
      <xdr:spPr>
        <a:xfrm>
          <a:off x="7677150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BÔNUS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1095375</xdr:colOff>
      <xdr:row>0</xdr:row>
      <xdr:rowOff>0</xdr:rowOff>
    </xdr:from>
    <xdr:to>
      <xdr:col>37</xdr:col>
      <xdr:colOff>130374</xdr:colOff>
      <xdr:row>3</xdr:row>
      <xdr:rowOff>66581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ED07325-37D7-4355-9D7D-A17A7A72A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0"/>
          <a:ext cx="23809524" cy="752381"/>
        </a:xfrm>
        <a:prstGeom prst="rect">
          <a:avLst/>
        </a:prstGeom>
      </xdr:spPr>
    </xdr:pic>
    <xdr:clientData/>
  </xdr:twoCellAnchor>
  <xdr:twoCellAnchor editAs="absolute">
    <xdr:from>
      <xdr:col>0</xdr:col>
      <xdr:colOff>76200</xdr:colOff>
      <xdr:row>0</xdr:row>
      <xdr:rowOff>38100</xdr:rowOff>
    </xdr:from>
    <xdr:to>
      <xdr:col>1</xdr:col>
      <xdr:colOff>1029500</xdr:colOff>
      <xdr:row>2</xdr:row>
      <xdr:rowOff>192900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DDE6A0D-8E21-4514-B44B-FE24FA822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0"/>
          <a:ext cx="1067600" cy="612000"/>
        </a:xfrm>
        <a:prstGeom prst="rect">
          <a:avLst/>
        </a:prstGeom>
      </xdr:spPr>
    </xdr:pic>
    <xdr:clientData/>
  </xdr:twoCellAnchor>
  <xdr:twoCellAnchor editAs="absolute">
    <xdr:from>
      <xdr:col>2</xdr:col>
      <xdr:colOff>19050</xdr:colOff>
      <xdr:row>1</xdr:row>
      <xdr:rowOff>112275</xdr:rowOff>
    </xdr:from>
    <xdr:to>
      <xdr:col>2</xdr:col>
      <xdr:colOff>1171050</xdr:colOff>
      <xdr:row>2</xdr:row>
      <xdr:rowOff>171675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1C21AA-5B10-4239-B55A-83C39D59BBE5}"/>
            </a:ext>
          </a:extLst>
        </xdr:cNvPr>
        <xdr:cNvSpPr/>
      </xdr:nvSpPr>
      <xdr:spPr>
        <a:xfrm>
          <a:off x="1323975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0">
              <a:solidFill>
                <a:schemeClr val="tx1"/>
              </a:solidFill>
              <a:latin typeface="+mn-lt"/>
              <a:ea typeface="+mn-ea"/>
              <a:cs typeface="+mn-cs"/>
            </a:rPr>
            <a:t>PARTICIPANTES</a:t>
          </a:r>
        </a:p>
      </xdr:txBody>
    </xdr:sp>
    <xdr:clientData/>
  </xdr:twoCellAnchor>
  <xdr:twoCellAnchor editAs="absolute">
    <xdr:from>
      <xdr:col>3</xdr:col>
      <xdr:colOff>58950</xdr:colOff>
      <xdr:row>1</xdr:row>
      <xdr:rowOff>112275</xdr:rowOff>
    </xdr:from>
    <xdr:to>
      <xdr:col>3</xdr:col>
      <xdr:colOff>1210950</xdr:colOff>
      <xdr:row>2</xdr:row>
      <xdr:rowOff>171675</xdr:rowOff>
    </xdr:to>
    <xdr:sp macro="" textlink="">
      <xdr:nvSpPr>
        <xdr:cNvPr id="5" name="Retângulo: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5B43B0-2339-411B-8B3E-5CA3A1AF1C4B}"/>
            </a:ext>
          </a:extLst>
        </xdr:cNvPr>
        <xdr:cNvSpPr/>
      </xdr:nvSpPr>
      <xdr:spPr>
        <a:xfrm>
          <a:off x="2554500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CONTRIBUIÇÕES</a:t>
          </a:r>
        </a:p>
      </xdr:txBody>
    </xdr:sp>
    <xdr:clientData/>
  </xdr:twoCellAnchor>
  <xdr:twoCellAnchor editAs="absolute">
    <xdr:from>
      <xdr:col>3</xdr:col>
      <xdr:colOff>1289475</xdr:colOff>
      <xdr:row>1</xdr:row>
      <xdr:rowOff>112275</xdr:rowOff>
    </xdr:from>
    <xdr:to>
      <xdr:col>4</xdr:col>
      <xdr:colOff>850800</xdr:colOff>
      <xdr:row>2</xdr:row>
      <xdr:rowOff>171675</xdr:rowOff>
    </xdr:to>
    <xdr:sp macro="" textlink="">
      <xdr:nvSpPr>
        <xdr:cNvPr id="6" name="Retângulo: Cantos Arredondado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1ED7735-E930-4E36-8E5E-2855F5503A29}"/>
            </a:ext>
          </a:extLst>
        </xdr:cNvPr>
        <xdr:cNvSpPr/>
      </xdr:nvSpPr>
      <xdr:spPr>
        <a:xfrm>
          <a:off x="3785025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EMPRÉSTIMOS</a:t>
          </a:r>
        </a:p>
      </xdr:txBody>
    </xdr:sp>
    <xdr:clientData/>
  </xdr:twoCellAnchor>
  <xdr:twoCellAnchor editAs="absolute">
    <xdr:from>
      <xdr:col>4</xdr:col>
      <xdr:colOff>929325</xdr:colOff>
      <xdr:row>1</xdr:row>
      <xdr:rowOff>112275</xdr:rowOff>
    </xdr:from>
    <xdr:to>
      <xdr:col>6</xdr:col>
      <xdr:colOff>376875</xdr:colOff>
      <xdr:row>2</xdr:row>
      <xdr:rowOff>171675</xdr:rowOff>
    </xdr:to>
    <xdr:sp macro="" textlink="">
      <xdr:nvSpPr>
        <xdr:cNvPr id="7" name="Retângulo: Cantos Arredondado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4004998-E902-4E51-BF6C-2D65C4563A3E}"/>
            </a:ext>
          </a:extLst>
        </xdr:cNvPr>
        <xdr:cNvSpPr/>
      </xdr:nvSpPr>
      <xdr:spPr>
        <a:xfrm>
          <a:off x="5015550" y="340875"/>
          <a:ext cx="1352550" cy="288000"/>
        </a:xfrm>
        <a:prstGeom prst="roundRect">
          <a:avLst/>
        </a:prstGeom>
        <a:solidFill>
          <a:srgbClr val="2D5EA9"/>
        </a:solidFill>
        <a:ln w="12700">
          <a:solidFill>
            <a:srgbClr val="10622F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0">
              <a:solidFill>
                <a:schemeClr val="bg1"/>
              </a:solidFill>
              <a:latin typeface="+mn-lt"/>
              <a:ea typeface="+mn-ea"/>
              <a:cs typeface="+mn-cs"/>
            </a:rPr>
            <a:t>PGTO EMPRESTIMOS</a:t>
          </a:r>
        </a:p>
      </xdr:txBody>
    </xdr:sp>
    <xdr:clientData/>
  </xdr:twoCellAnchor>
  <xdr:twoCellAnchor editAs="absolute">
    <xdr:from>
      <xdr:col>6</xdr:col>
      <xdr:colOff>455400</xdr:colOff>
      <xdr:row>1</xdr:row>
      <xdr:rowOff>112275</xdr:rowOff>
    </xdr:from>
    <xdr:to>
      <xdr:col>8</xdr:col>
      <xdr:colOff>388200</xdr:colOff>
      <xdr:row>2</xdr:row>
      <xdr:rowOff>171675</xdr:rowOff>
    </xdr:to>
    <xdr:sp macro="" textlink="">
      <xdr:nvSpPr>
        <xdr:cNvPr id="8" name="Retângulo: Cantos Arredondados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52A2EDA-2B19-44E5-B9BD-43AF487F6481}"/>
            </a:ext>
          </a:extLst>
        </xdr:cNvPr>
        <xdr:cNvSpPr/>
      </xdr:nvSpPr>
      <xdr:spPr>
        <a:xfrm>
          <a:off x="6446625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FLUXO MENSAL</a:t>
          </a:r>
        </a:p>
      </xdr:txBody>
    </xdr:sp>
    <xdr:clientData/>
  </xdr:twoCellAnchor>
  <xdr:twoCellAnchor editAs="absolute">
    <xdr:from>
      <xdr:col>8</xdr:col>
      <xdr:colOff>466725</xdr:colOff>
      <xdr:row>1</xdr:row>
      <xdr:rowOff>112275</xdr:rowOff>
    </xdr:from>
    <xdr:to>
      <xdr:col>10</xdr:col>
      <xdr:colOff>399525</xdr:colOff>
      <xdr:row>2</xdr:row>
      <xdr:rowOff>171675</xdr:rowOff>
    </xdr:to>
    <xdr:sp macro="" textlink="">
      <xdr:nvSpPr>
        <xdr:cNvPr id="9" name="Retângulo: Cantos Arredondados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F9B2008-0BE1-40E9-B51F-08E89DE7038B}"/>
            </a:ext>
          </a:extLst>
        </xdr:cNvPr>
        <xdr:cNvSpPr/>
      </xdr:nvSpPr>
      <xdr:spPr>
        <a:xfrm>
          <a:off x="7677150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BÔNUS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333375</xdr:colOff>
      <xdr:row>0</xdr:row>
      <xdr:rowOff>0</xdr:rowOff>
    </xdr:from>
    <xdr:to>
      <xdr:col>37</xdr:col>
      <xdr:colOff>301824</xdr:colOff>
      <xdr:row>3</xdr:row>
      <xdr:rowOff>66581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0CE600-DFE6-4174-BDC0-418F869E0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0"/>
          <a:ext cx="23809524" cy="752381"/>
        </a:xfrm>
        <a:prstGeom prst="rect">
          <a:avLst/>
        </a:prstGeom>
      </xdr:spPr>
    </xdr:pic>
    <xdr:clientData/>
  </xdr:twoCellAnchor>
  <xdr:twoCellAnchor editAs="absolute">
    <xdr:from>
      <xdr:col>0</xdr:col>
      <xdr:colOff>76200</xdr:colOff>
      <xdr:row>0</xdr:row>
      <xdr:rowOff>38100</xdr:rowOff>
    </xdr:from>
    <xdr:to>
      <xdr:col>2</xdr:col>
      <xdr:colOff>267500</xdr:colOff>
      <xdr:row>2</xdr:row>
      <xdr:rowOff>192900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AB10F90-4892-409F-A7F7-9457097BF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0"/>
          <a:ext cx="1067600" cy="612000"/>
        </a:xfrm>
        <a:prstGeom prst="rect">
          <a:avLst/>
        </a:prstGeom>
      </xdr:spPr>
    </xdr:pic>
    <xdr:clientData/>
  </xdr:twoCellAnchor>
  <xdr:twoCellAnchor editAs="absolute">
    <xdr:from>
      <xdr:col>2</xdr:col>
      <xdr:colOff>447675</xdr:colOff>
      <xdr:row>1</xdr:row>
      <xdr:rowOff>112275</xdr:rowOff>
    </xdr:from>
    <xdr:to>
      <xdr:col>3</xdr:col>
      <xdr:colOff>513825</xdr:colOff>
      <xdr:row>2</xdr:row>
      <xdr:rowOff>171675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11B0EF7-18AD-4FCA-A472-257F8008079B}"/>
            </a:ext>
          </a:extLst>
        </xdr:cNvPr>
        <xdr:cNvSpPr/>
      </xdr:nvSpPr>
      <xdr:spPr>
        <a:xfrm>
          <a:off x="1323975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0">
              <a:solidFill>
                <a:schemeClr val="tx1"/>
              </a:solidFill>
              <a:latin typeface="+mn-lt"/>
              <a:ea typeface="+mn-ea"/>
              <a:cs typeface="+mn-cs"/>
            </a:rPr>
            <a:t>PARTICIPANTES</a:t>
          </a:r>
        </a:p>
      </xdr:txBody>
    </xdr:sp>
    <xdr:clientData/>
  </xdr:twoCellAnchor>
  <xdr:twoCellAnchor editAs="absolute">
    <xdr:from>
      <xdr:col>3</xdr:col>
      <xdr:colOff>592350</xdr:colOff>
      <xdr:row>1</xdr:row>
      <xdr:rowOff>112275</xdr:rowOff>
    </xdr:from>
    <xdr:to>
      <xdr:col>4</xdr:col>
      <xdr:colOff>687075</xdr:colOff>
      <xdr:row>2</xdr:row>
      <xdr:rowOff>171675</xdr:rowOff>
    </xdr:to>
    <xdr:sp macro="" textlink="">
      <xdr:nvSpPr>
        <xdr:cNvPr id="5" name="Retângulo: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5E2FB8-A5B3-43E2-901A-8FC9C91B68C3}"/>
            </a:ext>
          </a:extLst>
        </xdr:cNvPr>
        <xdr:cNvSpPr/>
      </xdr:nvSpPr>
      <xdr:spPr>
        <a:xfrm>
          <a:off x="2554500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CONTRIBUIÇÕES</a:t>
          </a:r>
        </a:p>
      </xdr:txBody>
    </xdr:sp>
    <xdr:clientData/>
  </xdr:twoCellAnchor>
  <xdr:twoCellAnchor editAs="absolute">
    <xdr:from>
      <xdr:col>4</xdr:col>
      <xdr:colOff>765600</xdr:colOff>
      <xdr:row>1</xdr:row>
      <xdr:rowOff>112275</xdr:rowOff>
    </xdr:from>
    <xdr:to>
      <xdr:col>5</xdr:col>
      <xdr:colOff>631725</xdr:colOff>
      <xdr:row>2</xdr:row>
      <xdr:rowOff>171675</xdr:rowOff>
    </xdr:to>
    <xdr:sp macro="" textlink="">
      <xdr:nvSpPr>
        <xdr:cNvPr id="6" name="Retângulo: Cantos Arredondado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B42D491-D61F-41E8-B83A-CA69079E70CF}"/>
            </a:ext>
          </a:extLst>
        </xdr:cNvPr>
        <xdr:cNvSpPr/>
      </xdr:nvSpPr>
      <xdr:spPr>
        <a:xfrm>
          <a:off x="3785025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EMPRÉSTIMOS</a:t>
          </a:r>
        </a:p>
      </xdr:txBody>
    </xdr:sp>
    <xdr:clientData/>
  </xdr:twoCellAnchor>
  <xdr:twoCellAnchor editAs="absolute">
    <xdr:from>
      <xdr:col>5</xdr:col>
      <xdr:colOff>710250</xdr:colOff>
      <xdr:row>1</xdr:row>
      <xdr:rowOff>112275</xdr:rowOff>
    </xdr:from>
    <xdr:to>
      <xdr:col>6</xdr:col>
      <xdr:colOff>996000</xdr:colOff>
      <xdr:row>2</xdr:row>
      <xdr:rowOff>171675</xdr:rowOff>
    </xdr:to>
    <xdr:sp macro="" textlink="">
      <xdr:nvSpPr>
        <xdr:cNvPr id="7" name="Retângulo: Cantos Arredondado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76A0954-8D74-4FEA-8760-138500F703DA}"/>
            </a:ext>
          </a:extLst>
        </xdr:cNvPr>
        <xdr:cNvSpPr/>
      </xdr:nvSpPr>
      <xdr:spPr>
        <a:xfrm>
          <a:off x="5015550" y="340875"/>
          <a:ext cx="135255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PGTO</a:t>
          </a:r>
          <a:r>
            <a:rPr lang="pt-BR" sz="1000" b="0" baseline="0">
              <a:solidFill>
                <a:schemeClr val="tx1"/>
              </a:solidFill>
            </a:rPr>
            <a:t> EMPRESTIMOS</a:t>
          </a:r>
          <a:endParaRPr lang="pt-BR" sz="1000" b="0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7</xdr:col>
      <xdr:colOff>17250</xdr:colOff>
      <xdr:row>1</xdr:row>
      <xdr:rowOff>112275</xdr:rowOff>
    </xdr:from>
    <xdr:to>
      <xdr:col>8</xdr:col>
      <xdr:colOff>559650</xdr:colOff>
      <xdr:row>2</xdr:row>
      <xdr:rowOff>171675</xdr:rowOff>
    </xdr:to>
    <xdr:sp macro="" textlink="">
      <xdr:nvSpPr>
        <xdr:cNvPr id="8" name="Retângulo: Cantos Arredondados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6D1D89-66C6-4D99-AF18-B1F40B9E9333}"/>
            </a:ext>
          </a:extLst>
        </xdr:cNvPr>
        <xdr:cNvSpPr/>
      </xdr:nvSpPr>
      <xdr:spPr>
        <a:xfrm>
          <a:off x="6446625" y="340875"/>
          <a:ext cx="1152000" cy="288000"/>
        </a:xfrm>
        <a:prstGeom prst="roundRect">
          <a:avLst/>
        </a:prstGeom>
        <a:solidFill>
          <a:srgbClr val="2D5EA9"/>
        </a:solidFill>
        <a:ln w="12700">
          <a:solidFill>
            <a:srgbClr val="10622F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0">
              <a:solidFill>
                <a:schemeClr val="bg1"/>
              </a:solidFill>
              <a:latin typeface="+mn-lt"/>
              <a:ea typeface="+mn-ea"/>
              <a:cs typeface="+mn-cs"/>
            </a:rPr>
            <a:t>FLUXO MENSAL</a:t>
          </a:r>
        </a:p>
      </xdr:txBody>
    </xdr:sp>
    <xdr:clientData/>
  </xdr:twoCellAnchor>
  <xdr:twoCellAnchor editAs="absolute">
    <xdr:from>
      <xdr:col>9</xdr:col>
      <xdr:colOff>28575</xdr:colOff>
      <xdr:row>1</xdr:row>
      <xdr:rowOff>112275</xdr:rowOff>
    </xdr:from>
    <xdr:to>
      <xdr:col>10</xdr:col>
      <xdr:colOff>570975</xdr:colOff>
      <xdr:row>2</xdr:row>
      <xdr:rowOff>171675</xdr:rowOff>
    </xdr:to>
    <xdr:sp macro="" textlink="">
      <xdr:nvSpPr>
        <xdr:cNvPr id="9" name="Retângulo: Cantos Arredondados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8FEECB2-45D9-490B-96CE-467B0A846706}"/>
            </a:ext>
          </a:extLst>
        </xdr:cNvPr>
        <xdr:cNvSpPr/>
      </xdr:nvSpPr>
      <xdr:spPr>
        <a:xfrm>
          <a:off x="7677150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BÔNUS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61950</xdr:colOff>
      <xdr:row>7</xdr:row>
      <xdr:rowOff>114299</xdr:rowOff>
    </xdr:from>
    <xdr:to>
      <xdr:col>11</xdr:col>
      <xdr:colOff>117300</xdr:colOff>
      <xdr:row>9</xdr:row>
      <xdr:rowOff>341099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0A4D614-8534-4908-986D-D778EF27E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3175" y="1552574"/>
          <a:ext cx="684000" cy="6840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</xdr:row>
      <xdr:rowOff>38099</xdr:rowOff>
    </xdr:from>
    <xdr:to>
      <xdr:col>17</xdr:col>
      <xdr:colOff>285750</xdr:colOff>
      <xdr:row>17</xdr:row>
      <xdr:rowOff>87444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BCB0562-3EEA-4219-86AB-471F72EF46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19" b="15251"/>
        <a:stretch>
          <a:fillRect/>
        </a:stretch>
      </xdr:blipFill>
      <xdr:spPr>
        <a:xfrm>
          <a:off x="9134475" y="3000374"/>
          <a:ext cx="1543050" cy="105899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66674</xdr:colOff>
      <xdr:row>7</xdr:row>
      <xdr:rowOff>114299</xdr:rowOff>
    </xdr:from>
    <xdr:to>
      <xdr:col>2</xdr:col>
      <xdr:colOff>122024</xdr:colOff>
      <xdr:row>9</xdr:row>
      <xdr:rowOff>341099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1EB2541-AE37-4F69-99F1-6BDE7916D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1552574"/>
          <a:ext cx="684000" cy="68400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21</xdr:row>
      <xdr:rowOff>9524</xdr:rowOff>
    </xdr:from>
    <xdr:to>
      <xdr:col>7</xdr:col>
      <xdr:colOff>118959</xdr:colOff>
      <xdr:row>25</xdr:row>
      <xdr:rowOff>59849</xdr:rowOff>
    </xdr:to>
    <xdr:pic>
      <xdr:nvPicPr>
        <xdr:cNvPr id="6" name="Imagem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2D2D72-EB2C-41BA-970B-7C55250CDF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81" b="27901"/>
        <a:stretch>
          <a:fillRect/>
        </a:stretch>
      </xdr:blipFill>
      <xdr:spPr>
        <a:xfrm>
          <a:off x="1162050" y="5162549"/>
          <a:ext cx="2843109" cy="126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475966</xdr:colOff>
      <xdr:row>21</xdr:row>
      <xdr:rowOff>9524</xdr:rowOff>
    </xdr:from>
    <xdr:to>
      <xdr:col>16</xdr:col>
      <xdr:colOff>199027</xdr:colOff>
      <xdr:row>25</xdr:row>
      <xdr:rowOff>59849</xdr:rowOff>
    </xdr:to>
    <xdr:pic>
      <xdr:nvPicPr>
        <xdr:cNvPr id="7" name="Imagem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B2DB129-789A-4D05-B763-50F22C0272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068" b="26973"/>
        <a:stretch>
          <a:fillRect/>
        </a:stretch>
      </xdr:blipFill>
      <xdr:spPr>
        <a:xfrm>
          <a:off x="7095841" y="5162549"/>
          <a:ext cx="2866311" cy="12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13</xdr:row>
      <xdr:rowOff>123825</xdr:rowOff>
    </xdr:from>
    <xdr:to>
      <xdr:col>8</xdr:col>
      <xdr:colOff>374349</xdr:colOff>
      <xdr:row>17</xdr:row>
      <xdr:rowOff>295275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FB623D0C-77C0-4A79-B027-8BADE0A892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836" b="20545"/>
        <a:stretch>
          <a:fillRect/>
        </a:stretch>
      </xdr:blipFill>
      <xdr:spPr>
        <a:xfrm>
          <a:off x="2971800" y="3143250"/>
          <a:ext cx="1917399" cy="1123950"/>
        </a:xfrm>
        <a:prstGeom prst="rect">
          <a:avLst/>
        </a:prstGeom>
      </xdr:spPr>
    </xdr:pic>
    <xdr:clientData/>
  </xdr:twoCellAnchor>
  <xdr:twoCellAnchor editAs="absolute">
    <xdr:from>
      <xdr:col>2</xdr:col>
      <xdr:colOff>466725</xdr:colOff>
      <xdr:row>0</xdr:row>
      <xdr:rowOff>0</xdr:rowOff>
    </xdr:from>
    <xdr:to>
      <xdr:col>40</xdr:col>
      <xdr:colOff>587574</xdr:colOff>
      <xdr:row>3</xdr:row>
      <xdr:rowOff>66581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FC8FEAC-AF6C-44F3-9D67-65DFF4192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0"/>
          <a:ext cx="23809524" cy="752381"/>
        </a:xfrm>
        <a:prstGeom prst="rect">
          <a:avLst/>
        </a:prstGeom>
      </xdr:spPr>
    </xdr:pic>
    <xdr:clientData/>
  </xdr:twoCellAnchor>
  <xdr:twoCellAnchor editAs="absolute">
    <xdr:from>
      <xdr:col>0</xdr:col>
      <xdr:colOff>76200</xdr:colOff>
      <xdr:row>0</xdr:row>
      <xdr:rowOff>38100</xdr:rowOff>
    </xdr:from>
    <xdr:to>
      <xdr:col>2</xdr:col>
      <xdr:colOff>400850</xdr:colOff>
      <xdr:row>2</xdr:row>
      <xdr:rowOff>192900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BEB0664C-9B44-490F-9C54-AD78FD902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0"/>
          <a:ext cx="1067600" cy="612000"/>
        </a:xfrm>
        <a:prstGeom prst="rect">
          <a:avLst/>
        </a:prstGeom>
      </xdr:spPr>
    </xdr:pic>
    <xdr:clientData/>
  </xdr:twoCellAnchor>
  <xdr:twoCellAnchor editAs="absolute">
    <xdr:from>
      <xdr:col>2</xdr:col>
      <xdr:colOff>581025</xdr:colOff>
      <xdr:row>1</xdr:row>
      <xdr:rowOff>112275</xdr:rowOff>
    </xdr:from>
    <xdr:to>
      <xdr:col>4</xdr:col>
      <xdr:colOff>475725</xdr:colOff>
      <xdr:row>2</xdr:row>
      <xdr:rowOff>171675</xdr:rowOff>
    </xdr:to>
    <xdr:sp macro="" textlink="">
      <xdr:nvSpPr>
        <xdr:cNvPr id="10" name="Retângulo: Cantos Arredondados 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4713AD1-621C-422B-8665-D125F874C1B0}"/>
            </a:ext>
          </a:extLst>
        </xdr:cNvPr>
        <xdr:cNvSpPr/>
      </xdr:nvSpPr>
      <xdr:spPr>
        <a:xfrm>
          <a:off x="1323975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0">
              <a:solidFill>
                <a:schemeClr val="tx1"/>
              </a:solidFill>
              <a:latin typeface="+mn-lt"/>
              <a:ea typeface="+mn-ea"/>
              <a:cs typeface="+mn-cs"/>
            </a:rPr>
            <a:t>PARTICIPANTES</a:t>
          </a:r>
        </a:p>
      </xdr:txBody>
    </xdr:sp>
    <xdr:clientData/>
  </xdr:twoCellAnchor>
  <xdr:twoCellAnchor editAs="absolute">
    <xdr:from>
      <xdr:col>4</xdr:col>
      <xdr:colOff>554250</xdr:colOff>
      <xdr:row>1</xdr:row>
      <xdr:rowOff>112275</xdr:rowOff>
    </xdr:from>
    <xdr:to>
      <xdr:col>6</xdr:col>
      <xdr:colOff>448950</xdr:colOff>
      <xdr:row>2</xdr:row>
      <xdr:rowOff>171675</xdr:rowOff>
    </xdr:to>
    <xdr:sp macro="" textlink="">
      <xdr:nvSpPr>
        <xdr:cNvPr id="11" name="Retângulo: Cantos Arredondados 1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3826573-D891-4CCF-954B-719DC6488BC6}"/>
            </a:ext>
          </a:extLst>
        </xdr:cNvPr>
        <xdr:cNvSpPr/>
      </xdr:nvSpPr>
      <xdr:spPr>
        <a:xfrm>
          <a:off x="2554500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CONTRIBUIÇÕES</a:t>
          </a:r>
        </a:p>
      </xdr:txBody>
    </xdr:sp>
    <xdr:clientData/>
  </xdr:twoCellAnchor>
  <xdr:twoCellAnchor editAs="absolute">
    <xdr:from>
      <xdr:col>6</xdr:col>
      <xdr:colOff>527475</xdr:colOff>
      <xdr:row>1</xdr:row>
      <xdr:rowOff>112275</xdr:rowOff>
    </xdr:from>
    <xdr:to>
      <xdr:col>8</xdr:col>
      <xdr:colOff>422175</xdr:colOff>
      <xdr:row>2</xdr:row>
      <xdr:rowOff>171675</xdr:rowOff>
    </xdr:to>
    <xdr:sp macro="" textlink="">
      <xdr:nvSpPr>
        <xdr:cNvPr id="17" name="Retângulo: Cantos Arredondados 1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AD12D16-2D67-4C3C-96BB-97A94782734F}"/>
            </a:ext>
          </a:extLst>
        </xdr:cNvPr>
        <xdr:cNvSpPr/>
      </xdr:nvSpPr>
      <xdr:spPr>
        <a:xfrm>
          <a:off x="3785025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EMPRÉSTIMOS</a:t>
          </a:r>
        </a:p>
      </xdr:txBody>
    </xdr:sp>
    <xdr:clientData/>
  </xdr:twoCellAnchor>
  <xdr:twoCellAnchor editAs="absolute">
    <xdr:from>
      <xdr:col>8</xdr:col>
      <xdr:colOff>500700</xdr:colOff>
      <xdr:row>1</xdr:row>
      <xdr:rowOff>112275</xdr:rowOff>
    </xdr:from>
    <xdr:to>
      <xdr:col>10</xdr:col>
      <xdr:colOff>376875</xdr:colOff>
      <xdr:row>2</xdr:row>
      <xdr:rowOff>171675</xdr:rowOff>
    </xdr:to>
    <xdr:sp macro="" textlink="">
      <xdr:nvSpPr>
        <xdr:cNvPr id="19" name="Retângulo: Cantos Arredondados 1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CA452718-2604-4B92-BD76-CFBDA370E38E}"/>
            </a:ext>
          </a:extLst>
        </xdr:cNvPr>
        <xdr:cNvSpPr/>
      </xdr:nvSpPr>
      <xdr:spPr>
        <a:xfrm>
          <a:off x="5015550" y="340875"/>
          <a:ext cx="135255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PGTO</a:t>
          </a:r>
          <a:r>
            <a:rPr lang="pt-BR" sz="1000" b="0" baseline="0">
              <a:solidFill>
                <a:schemeClr val="tx1"/>
              </a:solidFill>
            </a:rPr>
            <a:t> EMPRESTIMOS</a:t>
          </a:r>
          <a:endParaRPr lang="pt-BR" sz="1000" b="0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10</xdr:col>
      <xdr:colOff>455400</xdr:colOff>
      <xdr:row>1</xdr:row>
      <xdr:rowOff>112275</xdr:rowOff>
    </xdr:from>
    <xdr:to>
      <xdr:col>12</xdr:col>
      <xdr:colOff>350100</xdr:colOff>
      <xdr:row>2</xdr:row>
      <xdr:rowOff>171675</xdr:rowOff>
    </xdr:to>
    <xdr:sp macro="" textlink="">
      <xdr:nvSpPr>
        <xdr:cNvPr id="20" name="Retângulo: Cantos Arredondados 1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1FBE868-D6EE-4722-92F9-F36113BAC202}"/>
            </a:ext>
          </a:extLst>
        </xdr:cNvPr>
        <xdr:cNvSpPr/>
      </xdr:nvSpPr>
      <xdr:spPr>
        <a:xfrm>
          <a:off x="6446625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FLUXO MENSAL</a:t>
          </a:r>
        </a:p>
      </xdr:txBody>
    </xdr:sp>
    <xdr:clientData/>
  </xdr:twoCellAnchor>
  <xdr:twoCellAnchor editAs="absolute">
    <xdr:from>
      <xdr:col>12</xdr:col>
      <xdr:colOff>428625</xdr:colOff>
      <xdr:row>1</xdr:row>
      <xdr:rowOff>112275</xdr:rowOff>
    </xdr:from>
    <xdr:to>
      <xdr:col>14</xdr:col>
      <xdr:colOff>323325</xdr:colOff>
      <xdr:row>2</xdr:row>
      <xdr:rowOff>171675</xdr:rowOff>
    </xdr:to>
    <xdr:sp macro="" textlink="">
      <xdr:nvSpPr>
        <xdr:cNvPr id="21" name="Retângulo: Cantos Arredondados 20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CA9ACE7-900A-43B3-9F9B-C1B63175F972}"/>
            </a:ext>
          </a:extLst>
        </xdr:cNvPr>
        <xdr:cNvSpPr/>
      </xdr:nvSpPr>
      <xdr:spPr>
        <a:xfrm>
          <a:off x="7677150" y="340875"/>
          <a:ext cx="1152000" cy="288000"/>
        </a:xfrm>
        <a:prstGeom prst="roundRect">
          <a:avLst/>
        </a:prstGeom>
        <a:solidFill>
          <a:srgbClr val="2D5EA9"/>
        </a:solidFill>
        <a:ln w="12700">
          <a:solidFill>
            <a:srgbClr val="10622F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0">
              <a:solidFill>
                <a:schemeClr val="bg1"/>
              </a:solidFill>
              <a:latin typeface="+mn-lt"/>
              <a:ea typeface="+mn-ea"/>
              <a:cs typeface="+mn-cs"/>
            </a:rPr>
            <a:t>BÔNUS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B6D4E6D-0A99-401A-AC6A-0FAF626C09B2}" name="Tab_Participantes" displayName="Tab_Participantes" ref="B11:L21" totalsRowShown="0" headerRowDxfId="42" dataDxfId="41">
  <autoFilter ref="B11:L21" xr:uid="{9B6D4E6D-0A99-401A-AC6A-0FAF626C09B2}"/>
  <tableColumns count="11">
    <tableColumn id="1" xr3:uid="{4FCF5B6B-BC0B-42EF-B6CB-006461DE375E}" name="NOME" dataDxfId="40"/>
    <tableColumn id="2" xr3:uid="{CD844DF8-A259-412B-9B76-13C7CC1406AC}" name="TELEFONE" dataDxfId="39"/>
    <tableColumn id="12" xr3:uid="{074C9585-6D45-400C-AA4C-7E3C72E44BE2}" name="OBSERVAÇÃO" dataDxfId="38"/>
    <tableColumn id="3" xr3:uid="{E76B92B5-7B51-4A31-A84D-434303919D6E}" name="TOTAL À CONTRIBUIR" dataDxfId="37" dataCellStyle="Moeda">
      <calculatedColumnFormula>$C$9*$C$7</calculatedColumnFormula>
    </tableColumn>
    <tableColumn id="4" xr3:uid="{CACC6C41-1B91-4EBD-A57B-9A491B0F3932}" name="TOTAL CONTRIBUÍDO" dataDxfId="36" dataCellStyle="Moeda">
      <calculatedColumnFormula>SUMIFS(Tab_Contribuicoes[VALOR PAGO],Tab_Contribuicoes[PARTICIPANTE],Tab_Participantes[[#This Row],[NOME]])</calculatedColumnFormula>
    </tableColumn>
    <tableColumn id="5" xr3:uid="{09FACC90-88A8-48A7-853D-4978D5182463}" name="STATUS CONTRIBUIÇÃO" dataDxfId="35">
      <calculatedColumnFormula>IF(Tab_Participantes[[#This Row],[TOTAL CONTRIBUÍDO]]&gt;=Tab_Participantes[[#This Row],[TOTAL À CONTRIBUIR]],"Em dia","Verificar")</calculatedColumnFormula>
    </tableColumn>
    <tableColumn id="6" xr3:uid="{E4D1BF3B-A056-4E3F-92E5-441B13A2E8D8}" name="SALDO CONTRIBUIÇÃO" dataDxfId="34" dataCellStyle="Moeda">
      <calculatedColumnFormula>Tab_Participantes[[#This Row],[TOTAL CONTRIBUÍDO]]-Tab_Participantes[[#This Row],[TOTAL À CONTRIBUIR]]</calculatedColumnFormula>
    </tableColumn>
    <tableColumn id="7" xr3:uid="{430C9E7F-53F3-49BB-986E-7A0537A7ED95}" name="EMPRÉSTIMOS TOMADOS" dataDxfId="33" dataCellStyle="Moeda">
      <calculatedColumnFormula>SUMIFS(Tab_Emprestimos[TOTAL A PAGAR],Tab_Emprestimos[PARTICIPANTE],Tab_Participantes[[#This Row],[NOME]])</calculatedColumnFormula>
    </tableColumn>
    <tableColumn id="8" xr3:uid="{A2619B79-B1E0-4AE9-BCCF-A0067D455115}" name="TOTAL PAGO EMPRÉSTIMOS" dataDxfId="32" dataCellStyle="Moeda">
      <calculatedColumnFormula>SUMIFS(Tab_PgtoEmprestimos[VALOR PAGO],Tab_PgtoEmprestimos[PARTICIPANTE],Tab_Participantes[[#This Row],[NOME]])</calculatedColumnFormula>
    </tableColumn>
    <tableColumn id="9" xr3:uid="{5AFA1AC1-529D-4E17-BACF-82EBDD612D20}" name="STATUS EMPRÉSTIMOS" dataDxfId="31">
      <calculatedColumnFormula>IF(Tab_Participantes[[#This Row],[TOTAL PAGO EMPRÉSTIMOS]]&gt;=Tab_Participantes[[#This Row],[EMPRÉSTIMOS TOMADOS]],"Em dia","Verificar")</calculatedColumnFormula>
    </tableColumn>
    <tableColumn id="10" xr3:uid="{56F9DC85-EAEB-41F2-A1BD-21CF739822ED}" name="SALDO EMPRÉSTIMOS" dataDxfId="30" dataCellStyle="Moeda">
      <calculatedColumnFormula>Tab_Participantes[[#This Row],[TOTAL PAGO EMPRÉSTIMOS]]-Tab_Participantes[[#This Row],[EMPRÉSTIMOS TOMADOS]]</calculatedColumnFormula>
    </tableColumn>
  </tableColumns>
  <tableStyleInfo name="TableStyleLight18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3FE05E-F306-4DF2-BB69-2198B6C4DD63}" name="Tab_Contribuicoes" displayName="Tab_Contribuicoes" ref="B6:F45" totalsRowShown="0" headerRowDxfId="29" dataDxfId="28">
  <autoFilter ref="B6:F45" xr:uid="{D53FE05E-F306-4DF2-BB69-2198B6C4DD63}"/>
  <tableColumns count="5">
    <tableColumn id="2" xr3:uid="{AEA5000D-8F47-4BA4-A076-39328C4A9EC5}" name="DATA PGTO" dataDxfId="27"/>
    <tableColumn id="3" xr3:uid="{587CB7F4-393E-434D-A3C5-2A85B6DAD937}" name="PARTICIPANTE" dataDxfId="26"/>
    <tableColumn id="4" xr3:uid="{82D2617B-3DA0-4A17-A297-37FE5887B575}" name="VALOR PAGO" dataDxfId="25" dataCellStyle="Moeda"/>
    <tableColumn id="5" xr3:uid="{628A05D3-FDF6-456D-915C-5D1F7824EEB8}" name="OBSERVAÇÃO" dataDxfId="24"/>
    <tableColumn id="1" xr3:uid="{1958E836-AB19-4AB5-A228-BFBEC29916EB}" name="AUX MÊS" dataDxfId="23">
      <calculatedColumnFormula>IF(Tab_Contribuicoes[[#This Row],[DATA PGTO]]="","",PROPER(TEXT(Tab_Contribuicoes[[#This Row],[DATA PGTO]],"mmm")))</calculatedColumnFormula>
    </tableColumn>
  </tableColumns>
  <tableStyleInfo name="TableStyleLight18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C8AAD03-0331-40B9-8B44-61458ADEC3E9}" name="Tab_Emprestimos" displayName="Tab_Emprestimos" ref="B6:K13" totalsRowShown="0" headerRowDxfId="22" dataDxfId="21">
  <autoFilter ref="B6:K13" xr:uid="{D53FE05E-F306-4DF2-BB69-2198B6C4DD63}"/>
  <tableColumns count="10">
    <tableColumn id="6" xr3:uid="{74BE0BB1-27C7-4160-9518-B7858ADB83CF}" name="ID EMPRÉSTIMOS" dataDxfId="20"/>
    <tableColumn id="2" xr3:uid="{F7FAEB8C-5F21-4D73-B81C-B1CC7FE78FA0}" name="DATA" dataDxfId="19"/>
    <tableColumn id="3" xr3:uid="{001A4A6A-996D-408B-8FC9-E51ECC0DD192}" name="PARTICIPANTE" dataDxfId="18"/>
    <tableColumn id="4" xr3:uid="{82EB2325-8378-4EAD-BD6C-8ADC7F5B11BB}" name="VALOR EMPRESTADO" dataDxfId="17" dataCellStyle="Moeda"/>
    <tableColumn id="9" xr3:uid="{8B9668B3-CA7A-4754-84EE-949F7A2F3FB3}" name="JUROS" dataDxfId="16" dataCellStyle="Moeda">
      <calculatedColumnFormula>Tab_Emprestimos[[#This Row],[VALOR EMPRESTADO]]*PARTICIPANTES!$C$8</calculatedColumnFormula>
    </tableColumn>
    <tableColumn id="8" xr3:uid="{02926083-C24E-4763-9424-6F0DBB593762}" name="TOTAL A PAGAR" dataDxfId="15" dataCellStyle="Moeda">
      <calculatedColumnFormula>Tab_Emprestimos[[#This Row],[VALOR EMPRESTADO]]+Tab_Emprestimos[[#This Row],[JUROS]]</calculatedColumnFormula>
    </tableColumn>
    <tableColumn id="7" xr3:uid="{F0DC6D1D-16B1-4B61-B153-0DFB71D84C0C}" name="TOTAL PAGO" dataDxfId="14" dataCellStyle="Moeda">
      <calculatedColumnFormula>SUMIFS(Tab_PgtoEmprestimos[VALOR PAGO],Tab_PgtoEmprestimos[ID EMPRÉSTIMOS],Tab_Emprestimos[[#This Row],[ID EMPRÉSTIMOS]])</calculatedColumnFormula>
    </tableColumn>
    <tableColumn id="5" xr3:uid="{3899CDAC-45FA-4621-8373-16AA9D0ADDC0}" name="SALDO EM ABERTO" dataDxfId="13" dataCellStyle="Moeda">
      <calculatedColumnFormula>Tab_Emprestimos[[#This Row],[TOTAL A PAGAR]]-Tab_Emprestimos[[#This Row],[TOTAL PAGO]]</calculatedColumnFormula>
    </tableColumn>
    <tableColumn id="10" xr3:uid="{C04873B4-4FA4-40A5-A90B-9F8FE14B7A86}" name="STATUS" dataDxfId="12">
      <calculatedColumnFormula>IF(Tab_Emprestimos[[#This Row],[SALDO EM ABERTO]]&lt;=0,"Quitado","Em aberto")</calculatedColumnFormula>
    </tableColumn>
    <tableColumn id="1" xr3:uid="{6936DF71-FF20-4F12-A775-13CF9CE14C8F}" name="AUX MÊS" dataDxfId="11">
      <calculatedColumnFormula>IF(Tab_Emprestimos[[#This Row],[DATA]]="","",PROPER(TEXT(Tab_Emprestimos[[#This Row],[DATA]],"mmm")))</calculatedColumnFormula>
    </tableColumn>
  </tableColumns>
  <tableStyleInfo name="TableStyleLight18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805BAC-FA88-49D5-A764-0AEAA7E3A399}" name="Tab_PgtoEmprestimos" displayName="Tab_PgtoEmprestimos" ref="B6:F19" totalsRowShown="0" headerRowDxfId="10" dataDxfId="9">
  <autoFilter ref="B6:F19" xr:uid="{D53FE05E-F306-4DF2-BB69-2198B6C4DD63}"/>
  <tableColumns count="5">
    <tableColumn id="2" xr3:uid="{4B0D06E3-5CAE-4FDA-A761-0DD6D7FAE23F}" name="DATA PGTO" dataDxfId="8"/>
    <tableColumn id="6" xr3:uid="{A47B4805-7E47-4DFD-850B-AA3E9E2F188F}" name="ID EMPRÉSTIMOS" dataDxfId="7"/>
    <tableColumn id="3" xr3:uid="{F2A5F16A-2E3B-44E1-A833-8B88C8EACF9B}" name="PARTICIPANTE" dataDxfId="6">
      <calculatedColumnFormula>IFERROR(IF(INDEX(Tab_Emprestimos[PARTICIPANTE],MATCH(Tab_PgtoEmprestimos[[#This Row],[ID EMPRÉSTIMOS]],Tab_Emprestimos[ID EMPRÉSTIMOS],0))=0,"",INDEX(Tab_Emprestimos[PARTICIPANTE],MATCH(Tab_PgtoEmprestimos[[#This Row],[ID EMPRÉSTIMOS]],Tab_Emprestimos[ID EMPRÉSTIMOS],0))),"")</calculatedColumnFormula>
    </tableColumn>
    <tableColumn id="4" xr3:uid="{8E2C3C60-4D85-4200-9D64-35B263724921}" name="VALOR PAGO" dataDxfId="5" dataCellStyle="Moeda"/>
    <tableColumn id="1" xr3:uid="{8BF21398-D1CD-48F1-9F43-77FB4A93D403}" name="AUX MÊS" dataDxfId="4">
      <calculatedColumnFormula>IF(Tab_PgtoEmprestimos[[#This Row],[DATA PGTO]]="","",PROPER(TEXT(Tab_PgtoEmprestimos[[#This Row],[DATA PGTO]],"mmm")))</calculatedColumnFormula>
    </tableColumn>
  </tableColumns>
  <tableStyleInfo name="TableStyleLight18" showFirstColumn="0" showLastColumn="0" showRowStripes="0" showColumnStripes="0"/>
</table>
</file>

<file path=xl/theme/theme1.xml><?xml version="1.0" encoding="utf-8"?>
<a:theme xmlns:a="http://schemas.openxmlformats.org/drawingml/2006/main" name="Tema do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8AE23-25E6-430C-BF99-50E13C791C7C}">
  <dimension ref="B4:L23"/>
  <sheetViews>
    <sheetView showGridLines="0" tabSelected="1" workbookViewId="0">
      <pane ySplit="11" topLeftCell="A12" activePane="bottomLeft" state="frozen"/>
      <selection pane="bottomLeft"/>
    </sheetView>
  </sheetViews>
  <sheetFormatPr defaultRowHeight="18" customHeight="1" x14ac:dyDescent="0.25"/>
  <cols>
    <col min="1" max="1" width="1.7109375" style="1" customWidth="1"/>
    <col min="2" max="2" width="35.140625" style="1" customWidth="1"/>
    <col min="3" max="3" width="21.5703125" style="1" customWidth="1"/>
    <col min="4" max="4" width="23" style="1" customWidth="1"/>
    <col min="5" max="5" width="15" style="1" bestFit="1" customWidth="1"/>
    <col min="6" max="6" width="16.42578125" style="1" bestFit="1" customWidth="1"/>
    <col min="7" max="8" width="17.42578125" style="1" bestFit="1" customWidth="1"/>
    <col min="9" max="9" width="15.85546875" style="1" bestFit="1" customWidth="1"/>
    <col min="10" max="12" width="16.7109375" style="1" bestFit="1" customWidth="1"/>
    <col min="13" max="16384" width="9.140625" style="1"/>
  </cols>
  <sheetData>
    <row r="4" spans="2:12" s="3" customFormat="1" ht="21.95" customHeight="1" thickBot="1" x14ac:dyDescent="0.3">
      <c r="B4" s="4" t="s">
        <v>89</v>
      </c>
    </row>
    <row r="5" spans="2:12" ht="8.1" customHeight="1" thickTop="1" x14ac:dyDescent="0.25"/>
    <row r="6" spans="2:12" ht="18" customHeight="1" x14ac:dyDescent="0.25">
      <c r="B6" s="23" t="s">
        <v>64</v>
      </c>
      <c r="C6" s="20">
        <v>10</v>
      </c>
      <c r="D6" s="42"/>
    </row>
    <row r="7" spans="2:12" ht="18" customHeight="1" x14ac:dyDescent="0.25">
      <c r="B7" s="23" t="s">
        <v>95</v>
      </c>
      <c r="C7" s="20">
        <v>4</v>
      </c>
      <c r="D7" s="42"/>
      <c r="E7" s="46" t="s">
        <v>96</v>
      </c>
      <c r="F7" s="46"/>
      <c r="G7" s="46"/>
      <c r="H7" s="46"/>
      <c r="I7" s="47" t="s">
        <v>97</v>
      </c>
      <c r="J7" s="47"/>
      <c r="K7" s="47"/>
      <c r="L7" s="47"/>
    </row>
    <row r="8" spans="2:12" ht="18" customHeight="1" x14ac:dyDescent="0.25">
      <c r="B8" s="23" t="s">
        <v>65</v>
      </c>
      <c r="C8" s="21">
        <v>0.15</v>
      </c>
      <c r="D8" s="44"/>
    </row>
    <row r="9" spans="2:12" ht="18" customHeight="1" x14ac:dyDescent="0.25">
      <c r="B9" s="23" t="s">
        <v>66</v>
      </c>
      <c r="C9" s="22">
        <v>100</v>
      </c>
      <c r="D9" s="45" t="s">
        <v>16</v>
      </c>
      <c r="E9" s="24">
        <f>SUBTOTAL(9,Tab_Participantes[TOTAL À CONTRIBUIR])</f>
        <v>4000</v>
      </c>
      <c r="F9" s="24">
        <f>SUBTOTAL(9,Tab_Participantes[TOTAL CONTRIBUÍDO])</f>
        <v>3780</v>
      </c>
      <c r="G9"/>
      <c r="H9" s="24">
        <f>ABS(SUBTOTAL(9,Tab_Participantes[SALDO CONTRIBUIÇÃO]))</f>
        <v>220</v>
      </c>
      <c r="I9" s="24">
        <f>SUBTOTAL(9,Tab_Participantes[EMPRÉSTIMOS TOMADOS])</f>
        <v>2415</v>
      </c>
      <c r="J9" s="24">
        <f>SUBTOTAL(9,Tab_Participantes[TOTAL PAGO EMPRÉSTIMOS])</f>
        <v>1922.5</v>
      </c>
      <c r="L9" s="24">
        <f>ABS(SUBTOTAL(9,Tab_Participantes[SALDO EMPRÉSTIMOS]))</f>
        <v>492.5</v>
      </c>
    </row>
    <row r="10" spans="2:12" ht="8.1" customHeight="1" x14ac:dyDescent="0.25"/>
    <row r="11" spans="2:12" ht="30" customHeight="1" x14ac:dyDescent="0.25">
      <c r="B11" s="5" t="s">
        <v>34</v>
      </c>
      <c r="C11" s="5" t="s">
        <v>35</v>
      </c>
      <c r="D11" s="5" t="s">
        <v>70</v>
      </c>
      <c r="E11" s="6" t="s">
        <v>36</v>
      </c>
      <c r="F11" s="6" t="s">
        <v>37</v>
      </c>
      <c r="G11" s="6" t="s">
        <v>38</v>
      </c>
      <c r="H11" s="6" t="s">
        <v>39</v>
      </c>
      <c r="I11" s="6" t="s">
        <v>40</v>
      </c>
      <c r="J11" s="6" t="s">
        <v>41</v>
      </c>
      <c r="K11" s="6" t="s">
        <v>63</v>
      </c>
      <c r="L11" s="6" t="s">
        <v>42</v>
      </c>
    </row>
    <row r="12" spans="2:12" ht="18" customHeight="1" x14ac:dyDescent="0.25">
      <c r="B12" s="17" t="s">
        <v>43</v>
      </c>
      <c r="C12" s="16" t="s">
        <v>44</v>
      </c>
      <c r="D12" s="16"/>
      <c r="E12" s="18">
        <f>$C$9*$C$7</f>
        <v>400</v>
      </c>
      <c r="F12" s="18">
        <f>SUMIFS(Tab_Contribuicoes[VALOR PAGO],Tab_Contribuicoes[PARTICIPANTE],Tab_Participantes[[#This Row],[NOME]])</f>
        <v>400</v>
      </c>
      <c r="G12" s="19" t="str">
        <f>IF(Tab_Participantes[[#This Row],[TOTAL CONTRIBUÍDO]]&gt;=Tab_Participantes[[#This Row],[TOTAL À CONTRIBUIR]],"Em dia","Verificar")</f>
        <v>Em dia</v>
      </c>
      <c r="H12" s="18">
        <f>Tab_Participantes[[#This Row],[TOTAL CONTRIBUÍDO]]-Tab_Participantes[[#This Row],[TOTAL À CONTRIBUIR]]</f>
        <v>0</v>
      </c>
      <c r="I12" s="18">
        <f>SUMIFS(Tab_Emprestimos[TOTAL A PAGAR],Tab_Emprestimos[PARTICIPANTE],Tab_Participantes[[#This Row],[NOME]])</f>
        <v>345</v>
      </c>
      <c r="J12" s="18">
        <f>SUMIFS(Tab_PgtoEmprestimos[VALOR PAGO],Tab_PgtoEmprestimos[PARTICIPANTE],Tab_Participantes[[#This Row],[NOME]])</f>
        <v>345</v>
      </c>
      <c r="K12" s="19" t="str">
        <f>IF(Tab_Participantes[[#This Row],[TOTAL PAGO EMPRÉSTIMOS]]&gt;=Tab_Participantes[[#This Row],[EMPRÉSTIMOS TOMADOS]],"Em dia","Verificar")</f>
        <v>Em dia</v>
      </c>
      <c r="L12" s="18">
        <f>Tab_Participantes[[#This Row],[TOTAL PAGO EMPRÉSTIMOS]]-Tab_Participantes[[#This Row],[EMPRÉSTIMOS TOMADOS]]</f>
        <v>0</v>
      </c>
    </row>
    <row r="13" spans="2:12" ht="18" customHeight="1" x14ac:dyDescent="0.25">
      <c r="B13" s="17" t="s">
        <v>45</v>
      </c>
      <c r="C13" s="16" t="s">
        <v>46</v>
      </c>
      <c r="D13" s="16"/>
      <c r="E13" s="18">
        <f t="shared" ref="E13:E21" si="0">$C$9*$C$7</f>
        <v>400</v>
      </c>
      <c r="F13" s="18">
        <f>SUMIFS(Tab_Contribuicoes[VALOR PAGO],Tab_Contribuicoes[PARTICIPANTE],Tab_Participantes[[#This Row],[NOME]])</f>
        <v>380</v>
      </c>
      <c r="G13" s="19" t="str">
        <f>IF(Tab_Participantes[[#This Row],[TOTAL CONTRIBUÍDO]]&gt;=Tab_Participantes[[#This Row],[TOTAL À CONTRIBUIR]],"Em dia","Verificar")</f>
        <v>Verificar</v>
      </c>
      <c r="H13" s="18">
        <f>Tab_Participantes[[#This Row],[TOTAL CONTRIBUÍDO]]-Tab_Participantes[[#This Row],[TOTAL À CONTRIBUIR]]</f>
        <v>-20</v>
      </c>
      <c r="I13" s="18">
        <f>SUMIFS(Tab_Emprestimos[TOTAL A PAGAR],Tab_Emprestimos[PARTICIPANTE],Tab_Participantes[[#This Row],[NOME]])</f>
        <v>690</v>
      </c>
      <c r="J13" s="18">
        <f>SUMIFS(Tab_PgtoEmprestimos[VALOR PAGO],Tab_PgtoEmprestimos[PARTICIPANTE],Tab_Participantes[[#This Row],[NOME]])</f>
        <v>690</v>
      </c>
      <c r="K13" s="19" t="str">
        <f>IF(Tab_Participantes[[#This Row],[TOTAL PAGO EMPRÉSTIMOS]]&gt;=Tab_Participantes[[#This Row],[EMPRÉSTIMOS TOMADOS]],"Em dia","Verificar")</f>
        <v>Em dia</v>
      </c>
      <c r="L13" s="18">
        <f>Tab_Participantes[[#This Row],[TOTAL PAGO EMPRÉSTIMOS]]-Tab_Participantes[[#This Row],[EMPRÉSTIMOS TOMADOS]]</f>
        <v>0</v>
      </c>
    </row>
    <row r="14" spans="2:12" ht="18" customHeight="1" x14ac:dyDescent="0.25">
      <c r="B14" s="17" t="s">
        <v>47</v>
      </c>
      <c r="C14" s="16" t="s">
        <v>48</v>
      </c>
      <c r="D14" s="16"/>
      <c r="E14" s="18">
        <f t="shared" si="0"/>
        <v>400</v>
      </c>
      <c r="F14" s="18">
        <f>SUMIFS(Tab_Contribuicoes[VALOR PAGO],Tab_Contribuicoes[PARTICIPANTE],Tab_Participantes[[#This Row],[NOME]])</f>
        <v>400</v>
      </c>
      <c r="G14" s="19" t="str">
        <f>IF(Tab_Participantes[[#This Row],[TOTAL CONTRIBUÍDO]]&gt;=Tab_Participantes[[#This Row],[TOTAL À CONTRIBUIR]],"Em dia","Verificar")</f>
        <v>Em dia</v>
      </c>
      <c r="H14" s="18">
        <f>Tab_Participantes[[#This Row],[TOTAL CONTRIBUÍDO]]-Tab_Participantes[[#This Row],[TOTAL À CONTRIBUIR]]</f>
        <v>0</v>
      </c>
      <c r="I14" s="18">
        <f>SUMIFS(Tab_Emprestimos[TOTAL A PAGAR],Tab_Emprestimos[PARTICIPANTE],Tab_Participantes[[#This Row],[NOME]])</f>
        <v>287.5</v>
      </c>
      <c r="J14" s="18">
        <f>SUMIFS(Tab_PgtoEmprestimos[VALOR PAGO],Tab_PgtoEmprestimos[PARTICIPANTE],Tab_Participantes[[#This Row],[NOME]])</f>
        <v>287.5</v>
      </c>
      <c r="K14" s="19" t="str">
        <f>IF(Tab_Participantes[[#This Row],[TOTAL PAGO EMPRÉSTIMOS]]&gt;=Tab_Participantes[[#This Row],[EMPRÉSTIMOS TOMADOS]],"Em dia","Verificar")</f>
        <v>Em dia</v>
      </c>
      <c r="L14" s="18">
        <f>Tab_Participantes[[#This Row],[TOTAL PAGO EMPRÉSTIMOS]]-Tab_Participantes[[#This Row],[EMPRÉSTIMOS TOMADOS]]</f>
        <v>0</v>
      </c>
    </row>
    <row r="15" spans="2:12" ht="18" customHeight="1" x14ac:dyDescent="0.25">
      <c r="B15" s="17" t="s">
        <v>49</v>
      </c>
      <c r="C15" s="16" t="s">
        <v>50</v>
      </c>
      <c r="D15" s="16"/>
      <c r="E15" s="18">
        <f t="shared" si="0"/>
        <v>400</v>
      </c>
      <c r="F15" s="18">
        <f>SUMIFS(Tab_Contribuicoes[VALOR PAGO],Tab_Contribuicoes[PARTICIPANTE],Tab_Participantes[[#This Row],[NOME]])</f>
        <v>300</v>
      </c>
      <c r="G15" s="19" t="str">
        <f>IF(Tab_Participantes[[#This Row],[TOTAL CONTRIBUÍDO]]&gt;=Tab_Participantes[[#This Row],[TOTAL À CONTRIBUIR]],"Em dia","Verificar")</f>
        <v>Verificar</v>
      </c>
      <c r="H15" s="18">
        <f>Tab_Participantes[[#This Row],[TOTAL CONTRIBUÍDO]]-Tab_Participantes[[#This Row],[TOTAL À CONTRIBUIR]]</f>
        <v>-100</v>
      </c>
      <c r="I15" s="18">
        <f>SUMIFS(Tab_Emprestimos[TOTAL A PAGAR],Tab_Emprestimos[PARTICIPANTE],Tab_Participantes[[#This Row],[NOME]])</f>
        <v>460</v>
      </c>
      <c r="J15" s="18">
        <f>SUMIFS(Tab_PgtoEmprestimos[VALOR PAGO],Tab_PgtoEmprestimos[PARTICIPANTE],Tab_Participantes[[#This Row],[NOME]])</f>
        <v>200</v>
      </c>
      <c r="K15" s="19" t="str">
        <f>IF(Tab_Participantes[[#This Row],[TOTAL PAGO EMPRÉSTIMOS]]&gt;=Tab_Participantes[[#This Row],[EMPRÉSTIMOS TOMADOS]],"Em dia","Verificar")</f>
        <v>Verificar</v>
      </c>
      <c r="L15" s="18">
        <f>Tab_Participantes[[#This Row],[TOTAL PAGO EMPRÉSTIMOS]]-Tab_Participantes[[#This Row],[EMPRÉSTIMOS TOMADOS]]</f>
        <v>-260</v>
      </c>
    </row>
    <row r="16" spans="2:12" ht="18" customHeight="1" x14ac:dyDescent="0.25">
      <c r="B16" s="17" t="s">
        <v>51</v>
      </c>
      <c r="C16" s="16" t="s">
        <v>52</v>
      </c>
      <c r="D16" s="16"/>
      <c r="E16" s="18">
        <f t="shared" si="0"/>
        <v>400</v>
      </c>
      <c r="F16" s="18">
        <f>SUMIFS(Tab_Contribuicoes[VALOR PAGO],Tab_Contribuicoes[PARTICIPANTE],Tab_Participantes[[#This Row],[NOME]])</f>
        <v>400</v>
      </c>
      <c r="G16" s="19" t="str">
        <f>IF(Tab_Participantes[[#This Row],[TOTAL CONTRIBUÍDO]]&gt;=Tab_Participantes[[#This Row],[TOTAL À CONTRIBUIR]],"Em dia","Verificar")</f>
        <v>Em dia</v>
      </c>
      <c r="H16" s="18">
        <f>Tab_Participantes[[#This Row],[TOTAL CONTRIBUÍDO]]-Tab_Participantes[[#This Row],[TOTAL À CONTRIBUIR]]</f>
        <v>0</v>
      </c>
      <c r="I16" s="18">
        <f>SUMIFS(Tab_Emprestimos[TOTAL A PAGAR],Tab_Emprestimos[PARTICIPANTE],Tab_Participantes[[#This Row],[NOME]])</f>
        <v>402.5</v>
      </c>
      <c r="J16" s="18">
        <f>SUMIFS(Tab_PgtoEmprestimos[VALOR PAGO],Tab_PgtoEmprestimos[PARTICIPANTE],Tab_Participantes[[#This Row],[NOME]])</f>
        <v>300</v>
      </c>
      <c r="K16" s="19" t="str">
        <f>IF(Tab_Participantes[[#This Row],[TOTAL PAGO EMPRÉSTIMOS]]&gt;=Tab_Participantes[[#This Row],[EMPRÉSTIMOS TOMADOS]],"Em dia","Verificar")</f>
        <v>Verificar</v>
      </c>
      <c r="L16" s="18">
        <f>Tab_Participantes[[#This Row],[TOTAL PAGO EMPRÉSTIMOS]]-Tab_Participantes[[#This Row],[EMPRÉSTIMOS TOMADOS]]</f>
        <v>-102.5</v>
      </c>
    </row>
    <row r="17" spans="2:12" ht="18" customHeight="1" x14ac:dyDescent="0.25">
      <c r="B17" s="17" t="s">
        <v>53</v>
      </c>
      <c r="C17" s="16" t="s">
        <v>54</v>
      </c>
      <c r="D17" s="16"/>
      <c r="E17" s="18">
        <f t="shared" si="0"/>
        <v>400</v>
      </c>
      <c r="F17" s="18">
        <f>SUMIFS(Tab_Contribuicoes[VALOR PAGO],Tab_Contribuicoes[PARTICIPANTE],Tab_Participantes[[#This Row],[NOME]])</f>
        <v>400</v>
      </c>
      <c r="G17" s="19" t="str">
        <f>IF(Tab_Participantes[[#This Row],[TOTAL CONTRIBUÍDO]]&gt;=Tab_Participantes[[#This Row],[TOTAL À CONTRIBUIR]],"Em dia","Verificar")</f>
        <v>Em dia</v>
      </c>
      <c r="H17" s="18">
        <f>Tab_Participantes[[#This Row],[TOTAL CONTRIBUÍDO]]-Tab_Participantes[[#This Row],[TOTAL À CONTRIBUIR]]</f>
        <v>0</v>
      </c>
      <c r="I17" s="18">
        <f>SUMIFS(Tab_Emprestimos[TOTAL A PAGAR],Tab_Emprestimos[PARTICIPANTE],Tab_Participantes[[#This Row],[NOME]])</f>
        <v>0</v>
      </c>
      <c r="J17" s="18">
        <f>SUMIFS(Tab_PgtoEmprestimos[VALOR PAGO],Tab_PgtoEmprestimos[PARTICIPANTE],Tab_Participantes[[#This Row],[NOME]])</f>
        <v>0</v>
      </c>
      <c r="K17" s="19" t="str">
        <f>IF(Tab_Participantes[[#This Row],[TOTAL PAGO EMPRÉSTIMOS]]&gt;=Tab_Participantes[[#This Row],[EMPRÉSTIMOS TOMADOS]],"Em dia","Verificar")</f>
        <v>Em dia</v>
      </c>
      <c r="L17" s="18">
        <f>Tab_Participantes[[#This Row],[TOTAL PAGO EMPRÉSTIMOS]]-Tab_Participantes[[#This Row],[EMPRÉSTIMOS TOMADOS]]</f>
        <v>0</v>
      </c>
    </row>
    <row r="18" spans="2:12" ht="18" customHeight="1" x14ac:dyDescent="0.25">
      <c r="B18" s="17" t="s">
        <v>55</v>
      </c>
      <c r="C18" s="16" t="s">
        <v>56</v>
      </c>
      <c r="D18" s="16"/>
      <c r="E18" s="18">
        <f t="shared" si="0"/>
        <v>400</v>
      </c>
      <c r="F18" s="18">
        <f>SUMIFS(Tab_Contribuicoes[VALOR PAGO],Tab_Contribuicoes[PARTICIPANTE],Tab_Participantes[[#This Row],[NOME]])</f>
        <v>400</v>
      </c>
      <c r="G18" s="19" t="str">
        <f>IF(Tab_Participantes[[#This Row],[TOTAL CONTRIBUÍDO]]&gt;=Tab_Participantes[[#This Row],[TOTAL À CONTRIBUIR]],"Em dia","Verificar")</f>
        <v>Em dia</v>
      </c>
      <c r="H18" s="18">
        <f>Tab_Participantes[[#This Row],[TOTAL CONTRIBUÍDO]]-Tab_Participantes[[#This Row],[TOTAL À CONTRIBUIR]]</f>
        <v>0</v>
      </c>
      <c r="I18" s="18">
        <f>SUMIFS(Tab_Emprestimos[TOTAL A PAGAR],Tab_Emprestimos[PARTICIPANTE],Tab_Participantes[[#This Row],[NOME]])</f>
        <v>230</v>
      </c>
      <c r="J18" s="18">
        <f>SUMIFS(Tab_PgtoEmprestimos[VALOR PAGO],Tab_PgtoEmprestimos[PARTICIPANTE],Tab_Participantes[[#This Row],[NOME]])</f>
        <v>100</v>
      </c>
      <c r="K18" s="19" t="str">
        <f>IF(Tab_Participantes[[#This Row],[TOTAL PAGO EMPRÉSTIMOS]]&gt;=Tab_Participantes[[#This Row],[EMPRÉSTIMOS TOMADOS]],"Em dia","Verificar")</f>
        <v>Verificar</v>
      </c>
      <c r="L18" s="18">
        <f>Tab_Participantes[[#This Row],[TOTAL PAGO EMPRÉSTIMOS]]-Tab_Participantes[[#This Row],[EMPRÉSTIMOS TOMADOS]]</f>
        <v>-130</v>
      </c>
    </row>
    <row r="19" spans="2:12" ht="18" customHeight="1" x14ac:dyDescent="0.25">
      <c r="B19" s="17" t="s">
        <v>57</v>
      </c>
      <c r="C19" s="16" t="s">
        <v>58</v>
      </c>
      <c r="D19" s="16"/>
      <c r="E19" s="18">
        <f t="shared" si="0"/>
        <v>400</v>
      </c>
      <c r="F19" s="18">
        <f>SUMIFS(Tab_Contribuicoes[VALOR PAGO],Tab_Contribuicoes[PARTICIPANTE],Tab_Participantes[[#This Row],[NOME]])</f>
        <v>400</v>
      </c>
      <c r="G19" s="19" t="str">
        <f>IF(Tab_Participantes[[#This Row],[TOTAL CONTRIBUÍDO]]&gt;=Tab_Participantes[[#This Row],[TOTAL À CONTRIBUIR]],"Em dia","Verificar")</f>
        <v>Em dia</v>
      </c>
      <c r="H19" s="18">
        <f>Tab_Participantes[[#This Row],[TOTAL CONTRIBUÍDO]]-Tab_Participantes[[#This Row],[TOTAL À CONTRIBUIR]]</f>
        <v>0</v>
      </c>
      <c r="I19" s="18">
        <f>SUMIFS(Tab_Emprestimos[TOTAL A PAGAR],Tab_Emprestimos[PARTICIPANTE],Tab_Participantes[[#This Row],[NOME]])</f>
        <v>0</v>
      </c>
      <c r="J19" s="18">
        <f>SUMIFS(Tab_PgtoEmprestimos[VALOR PAGO],Tab_PgtoEmprestimos[PARTICIPANTE],Tab_Participantes[[#This Row],[NOME]])</f>
        <v>0</v>
      </c>
      <c r="K19" s="19" t="str">
        <f>IF(Tab_Participantes[[#This Row],[TOTAL PAGO EMPRÉSTIMOS]]&gt;=Tab_Participantes[[#This Row],[EMPRÉSTIMOS TOMADOS]],"Em dia","Verificar")</f>
        <v>Em dia</v>
      </c>
      <c r="L19" s="18">
        <f>Tab_Participantes[[#This Row],[TOTAL PAGO EMPRÉSTIMOS]]-Tab_Participantes[[#This Row],[EMPRÉSTIMOS TOMADOS]]</f>
        <v>0</v>
      </c>
    </row>
    <row r="20" spans="2:12" ht="18" customHeight="1" x14ac:dyDescent="0.25">
      <c r="B20" s="17" t="s">
        <v>59</v>
      </c>
      <c r="C20" s="16" t="s">
        <v>60</v>
      </c>
      <c r="D20" s="16"/>
      <c r="E20" s="18">
        <f t="shared" si="0"/>
        <v>400</v>
      </c>
      <c r="F20" s="18">
        <f>SUMIFS(Tab_Contribuicoes[VALOR PAGO],Tab_Contribuicoes[PARTICIPANTE],Tab_Participantes[[#This Row],[NOME]])</f>
        <v>400</v>
      </c>
      <c r="G20" s="19" t="str">
        <f>IF(Tab_Participantes[[#This Row],[TOTAL CONTRIBUÍDO]]&gt;=Tab_Participantes[[#This Row],[TOTAL À CONTRIBUIR]],"Em dia","Verificar")</f>
        <v>Em dia</v>
      </c>
      <c r="H20" s="18">
        <f>Tab_Participantes[[#This Row],[TOTAL CONTRIBUÍDO]]-Tab_Participantes[[#This Row],[TOTAL À CONTRIBUIR]]</f>
        <v>0</v>
      </c>
      <c r="I20" s="18">
        <f>SUMIFS(Tab_Emprestimos[TOTAL A PAGAR],Tab_Emprestimos[PARTICIPANTE],Tab_Participantes[[#This Row],[NOME]])</f>
        <v>0</v>
      </c>
      <c r="J20" s="18">
        <f>SUMIFS(Tab_PgtoEmprestimos[VALOR PAGO],Tab_PgtoEmprestimos[PARTICIPANTE],Tab_Participantes[[#This Row],[NOME]])</f>
        <v>0</v>
      </c>
      <c r="K20" s="19" t="str">
        <f>IF(Tab_Participantes[[#This Row],[TOTAL PAGO EMPRÉSTIMOS]]&gt;=Tab_Participantes[[#This Row],[EMPRÉSTIMOS TOMADOS]],"Em dia","Verificar")</f>
        <v>Em dia</v>
      </c>
      <c r="L20" s="18">
        <f>Tab_Participantes[[#This Row],[TOTAL PAGO EMPRÉSTIMOS]]-Tab_Participantes[[#This Row],[EMPRÉSTIMOS TOMADOS]]</f>
        <v>0</v>
      </c>
    </row>
    <row r="21" spans="2:12" ht="18" customHeight="1" x14ac:dyDescent="0.25">
      <c r="B21" s="17" t="s">
        <v>61</v>
      </c>
      <c r="C21" s="16" t="s">
        <v>62</v>
      </c>
      <c r="D21" s="16"/>
      <c r="E21" s="18">
        <f t="shared" si="0"/>
        <v>400</v>
      </c>
      <c r="F21" s="18">
        <f>SUMIFS(Tab_Contribuicoes[VALOR PAGO],Tab_Contribuicoes[PARTICIPANTE],Tab_Participantes[[#This Row],[NOME]])</f>
        <v>300</v>
      </c>
      <c r="G21" s="19" t="str">
        <f>IF(Tab_Participantes[[#This Row],[TOTAL CONTRIBUÍDO]]&gt;=Tab_Participantes[[#This Row],[TOTAL À CONTRIBUIR]],"Em dia","Verificar")</f>
        <v>Verificar</v>
      </c>
      <c r="H21" s="18">
        <f>Tab_Participantes[[#This Row],[TOTAL CONTRIBUÍDO]]-Tab_Participantes[[#This Row],[TOTAL À CONTRIBUIR]]</f>
        <v>-100</v>
      </c>
      <c r="I21" s="18">
        <f>SUMIFS(Tab_Emprestimos[TOTAL A PAGAR],Tab_Emprestimos[PARTICIPANTE],Tab_Participantes[[#This Row],[NOME]])</f>
        <v>0</v>
      </c>
      <c r="J21" s="18">
        <f>SUMIFS(Tab_PgtoEmprestimos[VALOR PAGO],Tab_PgtoEmprestimos[PARTICIPANTE],Tab_Participantes[[#This Row],[NOME]])</f>
        <v>0</v>
      </c>
      <c r="K21" s="19" t="str">
        <f>IF(Tab_Participantes[[#This Row],[TOTAL PAGO EMPRÉSTIMOS]]&gt;=Tab_Participantes[[#This Row],[EMPRÉSTIMOS TOMADOS]],"Em dia","Verificar")</f>
        <v>Em dia</v>
      </c>
      <c r="L21" s="18">
        <f>Tab_Participantes[[#This Row],[TOTAL PAGO EMPRÉSTIMOS]]-Tab_Participantes[[#This Row],[EMPRÉSTIMOS TOMADOS]]</f>
        <v>0</v>
      </c>
    </row>
    <row r="23" spans="2:12" ht="18" customHeight="1" x14ac:dyDescent="0.25">
      <c r="L23" s="43"/>
    </row>
  </sheetData>
  <mergeCells count="2">
    <mergeCell ref="E7:H7"/>
    <mergeCell ref="I7:L7"/>
  </mergeCells>
  <phoneticPr fontId="4" type="noConversion"/>
  <conditionalFormatting sqref="G12:G21 K12:K21">
    <cfRule type="containsText" dxfId="3" priority="1" operator="containsText" text="VERIFICAR">
      <formula>NOT(ISERROR(SEARCH("VERIFICAR",G12)))</formula>
    </cfRule>
  </conditionalFormatting>
  <conditionalFormatting sqref="H12:H21 L12:L21">
    <cfRule type="cellIs" dxfId="2" priority="2" operator="lessThan">
      <formula>0</formula>
    </cfRule>
  </conditionalFormatting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8EBF7-A632-41E5-9734-38D6C1D1233F}">
  <dimension ref="B4:F45"/>
  <sheetViews>
    <sheetView showGridLines="0" workbookViewId="0">
      <pane ySplit="6" topLeftCell="A10" activePane="bottomLeft" state="frozen"/>
      <selection pane="bottomLeft"/>
    </sheetView>
  </sheetViews>
  <sheetFormatPr defaultRowHeight="18" customHeight="1" x14ac:dyDescent="0.25"/>
  <cols>
    <col min="1" max="1" width="1.7109375" style="1" customWidth="1"/>
    <col min="2" max="2" width="17.85546875" style="1" customWidth="1"/>
    <col min="3" max="3" width="36.85546875" style="1" customWidth="1"/>
    <col min="4" max="4" width="16" style="1" bestFit="1" customWidth="1"/>
    <col min="5" max="5" width="35.28515625" style="1" customWidth="1"/>
    <col min="6" max="6" width="12.5703125" style="1" bestFit="1" customWidth="1"/>
    <col min="7" max="16384" width="9.140625" style="1"/>
  </cols>
  <sheetData>
    <row r="4" spans="2:6" s="3" customFormat="1" ht="21.95" customHeight="1" thickBot="1" x14ac:dyDescent="0.3">
      <c r="B4" s="4" t="s">
        <v>94</v>
      </c>
    </row>
    <row r="5" spans="2:6" ht="8.1" customHeight="1" thickTop="1" x14ac:dyDescent="0.25"/>
    <row r="6" spans="2:6" ht="30" customHeight="1" x14ac:dyDescent="0.25">
      <c r="B6" s="5" t="s">
        <v>67</v>
      </c>
      <c r="C6" s="5" t="s">
        <v>68</v>
      </c>
      <c r="D6" s="5" t="s">
        <v>69</v>
      </c>
      <c r="E6" s="5" t="s">
        <v>70</v>
      </c>
      <c r="F6" s="6" t="s">
        <v>15</v>
      </c>
    </row>
    <row r="7" spans="2:6" ht="18" customHeight="1" x14ac:dyDescent="0.25">
      <c r="B7" s="25">
        <v>46032</v>
      </c>
      <c r="C7" s="17" t="s">
        <v>43</v>
      </c>
      <c r="D7" s="26">
        <v>100</v>
      </c>
      <c r="E7" s="17"/>
      <c r="F7" s="19" t="str">
        <f>IF(Tab_Contribuicoes[[#This Row],[DATA PGTO]]="","",PROPER(TEXT(Tab_Contribuicoes[[#This Row],[DATA PGTO]],"mmm")))</f>
        <v>Jan</v>
      </c>
    </row>
    <row r="8" spans="2:6" ht="18" customHeight="1" x14ac:dyDescent="0.25">
      <c r="B8" s="25">
        <v>46032</v>
      </c>
      <c r="C8" s="17" t="s">
        <v>45</v>
      </c>
      <c r="D8" s="26">
        <v>100</v>
      </c>
      <c r="E8" s="17"/>
      <c r="F8" s="19" t="str">
        <f>IF(Tab_Contribuicoes[[#This Row],[DATA PGTO]]="","",PROPER(TEXT(Tab_Contribuicoes[[#This Row],[DATA PGTO]],"mmm")))</f>
        <v>Jan</v>
      </c>
    </row>
    <row r="9" spans="2:6" ht="18" customHeight="1" x14ac:dyDescent="0.25">
      <c r="B9" s="25">
        <v>46032</v>
      </c>
      <c r="C9" s="17" t="s">
        <v>47</v>
      </c>
      <c r="D9" s="26">
        <v>100</v>
      </c>
      <c r="E9" s="17"/>
      <c r="F9" s="19" t="str">
        <f>IF(Tab_Contribuicoes[[#This Row],[DATA PGTO]]="","",PROPER(TEXT(Tab_Contribuicoes[[#This Row],[DATA PGTO]],"mmm")))</f>
        <v>Jan</v>
      </c>
    </row>
    <row r="10" spans="2:6" ht="18" customHeight="1" x14ac:dyDescent="0.25">
      <c r="B10" s="25">
        <v>46032</v>
      </c>
      <c r="C10" s="17" t="s">
        <v>49</v>
      </c>
      <c r="D10" s="26">
        <v>100</v>
      </c>
      <c r="E10" s="17"/>
      <c r="F10" s="19" t="str">
        <f>IF(Tab_Contribuicoes[[#This Row],[DATA PGTO]]="","",PROPER(TEXT(Tab_Contribuicoes[[#This Row],[DATA PGTO]],"mmm")))</f>
        <v>Jan</v>
      </c>
    </row>
    <row r="11" spans="2:6" ht="18" customHeight="1" x14ac:dyDescent="0.25">
      <c r="B11" s="25">
        <v>46032</v>
      </c>
      <c r="C11" s="17" t="s">
        <v>51</v>
      </c>
      <c r="D11" s="26">
        <v>100</v>
      </c>
      <c r="E11" s="17"/>
      <c r="F11" s="19" t="str">
        <f>IF(Tab_Contribuicoes[[#This Row],[DATA PGTO]]="","",PROPER(TEXT(Tab_Contribuicoes[[#This Row],[DATA PGTO]],"mmm")))</f>
        <v>Jan</v>
      </c>
    </row>
    <row r="12" spans="2:6" ht="18" customHeight="1" x14ac:dyDescent="0.25">
      <c r="B12" s="25">
        <v>46032</v>
      </c>
      <c r="C12" s="17" t="s">
        <v>53</v>
      </c>
      <c r="D12" s="26">
        <v>100</v>
      </c>
      <c r="E12" s="17"/>
      <c r="F12" s="19" t="str">
        <f>IF(Tab_Contribuicoes[[#This Row],[DATA PGTO]]="","",PROPER(TEXT(Tab_Contribuicoes[[#This Row],[DATA PGTO]],"mmm")))</f>
        <v>Jan</v>
      </c>
    </row>
    <row r="13" spans="2:6" ht="18" customHeight="1" x14ac:dyDescent="0.25">
      <c r="B13" s="25">
        <v>46032</v>
      </c>
      <c r="C13" s="17" t="s">
        <v>55</v>
      </c>
      <c r="D13" s="26">
        <v>100</v>
      </c>
      <c r="E13" s="17"/>
      <c r="F13" s="19" t="str">
        <f>IF(Tab_Contribuicoes[[#This Row],[DATA PGTO]]="","",PROPER(TEXT(Tab_Contribuicoes[[#This Row],[DATA PGTO]],"mmm")))</f>
        <v>Jan</v>
      </c>
    </row>
    <row r="14" spans="2:6" ht="18" customHeight="1" x14ac:dyDescent="0.25">
      <c r="B14" s="25">
        <v>46032</v>
      </c>
      <c r="C14" s="17" t="s">
        <v>57</v>
      </c>
      <c r="D14" s="26">
        <v>100</v>
      </c>
      <c r="E14" s="17"/>
      <c r="F14" s="19" t="str">
        <f>IF(Tab_Contribuicoes[[#This Row],[DATA PGTO]]="","",PROPER(TEXT(Tab_Contribuicoes[[#This Row],[DATA PGTO]],"mmm")))</f>
        <v>Jan</v>
      </c>
    </row>
    <row r="15" spans="2:6" ht="18" customHeight="1" x14ac:dyDescent="0.25">
      <c r="B15" s="25">
        <v>46032</v>
      </c>
      <c r="C15" s="17" t="s">
        <v>59</v>
      </c>
      <c r="D15" s="26">
        <v>100</v>
      </c>
      <c r="E15" s="17"/>
      <c r="F15" s="19" t="str">
        <f>IF(Tab_Contribuicoes[[#This Row],[DATA PGTO]]="","",PROPER(TEXT(Tab_Contribuicoes[[#This Row],[DATA PGTO]],"mmm")))</f>
        <v>Jan</v>
      </c>
    </row>
    <row r="16" spans="2:6" ht="18" customHeight="1" x14ac:dyDescent="0.25">
      <c r="B16" s="25">
        <v>46032</v>
      </c>
      <c r="C16" s="17" t="s">
        <v>61</v>
      </c>
      <c r="D16" s="26">
        <v>100</v>
      </c>
      <c r="E16" s="17"/>
      <c r="F16" s="19" t="str">
        <f>IF(Tab_Contribuicoes[[#This Row],[DATA PGTO]]="","",PROPER(TEXT(Tab_Contribuicoes[[#This Row],[DATA PGTO]],"mmm")))</f>
        <v>Jan</v>
      </c>
    </row>
    <row r="17" spans="2:6" ht="18" customHeight="1" x14ac:dyDescent="0.25">
      <c r="B17" s="25">
        <v>46063</v>
      </c>
      <c r="C17" s="17" t="s">
        <v>43</v>
      </c>
      <c r="D17" s="26">
        <v>100</v>
      </c>
      <c r="E17" s="17"/>
      <c r="F17" s="19" t="str">
        <f>IF(Tab_Contribuicoes[[#This Row],[DATA PGTO]]="","",PROPER(TEXT(Tab_Contribuicoes[[#This Row],[DATA PGTO]],"mmm")))</f>
        <v>Fev</v>
      </c>
    </row>
    <row r="18" spans="2:6" ht="18" customHeight="1" x14ac:dyDescent="0.25">
      <c r="B18" s="25">
        <v>46063</v>
      </c>
      <c r="C18" s="17" t="s">
        <v>45</v>
      </c>
      <c r="D18" s="26">
        <v>80</v>
      </c>
      <c r="E18" s="17"/>
      <c r="F18" s="19" t="str">
        <f>IF(Tab_Contribuicoes[[#This Row],[DATA PGTO]]="","",PROPER(TEXT(Tab_Contribuicoes[[#This Row],[DATA PGTO]],"mmm")))</f>
        <v>Fev</v>
      </c>
    </row>
    <row r="19" spans="2:6" ht="18" customHeight="1" x14ac:dyDescent="0.25">
      <c r="B19" s="25">
        <v>46063</v>
      </c>
      <c r="C19" s="17" t="s">
        <v>47</v>
      </c>
      <c r="D19" s="26">
        <v>100</v>
      </c>
      <c r="E19" s="17"/>
      <c r="F19" s="19" t="str">
        <f>IF(Tab_Contribuicoes[[#This Row],[DATA PGTO]]="","",PROPER(TEXT(Tab_Contribuicoes[[#This Row],[DATA PGTO]],"mmm")))</f>
        <v>Fev</v>
      </c>
    </row>
    <row r="20" spans="2:6" ht="18" customHeight="1" x14ac:dyDescent="0.25">
      <c r="B20" s="25">
        <v>46063</v>
      </c>
      <c r="C20" s="17" t="s">
        <v>49</v>
      </c>
      <c r="D20" s="26">
        <v>100</v>
      </c>
      <c r="E20" s="17"/>
      <c r="F20" s="19" t="str">
        <f>IF(Tab_Contribuicoes[[#This Row],[DATA PGTO]]="","",PROPER(TEXT(Tab_Contribuicoes[[#This Row],[DATA PGTO]],"mmm")))</f>
        <v>Fev</v>
      </c>
    </row>
    <row r="21" spans="2:6" ht="18" customHeight="1" x14ac:dyDescent="0.25">
      <c r="B21" s="25">
        <v>46063</v>
      </c>
      <c r="C21" s="17" t="s">
        <v>51</v>
      </c>
      <c r="D21" s="26">
        <v>100</v>
      </c>
      <c r="E21" s="17"/>
      <c r="F21" s="19" t="str">
        <f>IF(Tab_Contribuicoes[[#This Row],[DATA PGTO]]="","",PROPER(TEXT(Tab_Contribuicoes[[#This Row],[DATA PGTO]],"mmm")))</f>
        <v>Fev</v>
      </c>
    </row>
    <row r="22" spans="2:6" ht="18" customHeight="1" x14ac:dyDescent="0.25">
      <c r="B22" s="25">
        <v>46063</v>
      </c>
      <c r="C22" s="17" t="s">
        <v>53</v>
      </c>
      <c r="D22" s="26">
        <v>100</v>
      </c>
      <c r="E22" s="17"/>
      <c r="F22" s="19" t="str">
        <f>IF(Tab_Contribuicoes[[#This Row],[DATA PGTO]]="","",PROPER(TEXT(Tab_Contribuicoes[[#This Row],[DATA PGTO]],"mmm")))</f>
        <v>Fev</v>
      </c>
    </row>
    <row r="23" spans="2:6" ht="18" customHeight="1" x14ac:dyDescent="0.25">
      <c r="B23" s="25">
        <v>46063</v>
      </c>
      <c r="C23" s="17" t="s">
        <v>55</v>
      </c>
      <c r="D23" s="26">
        <v>100</v>
      </c>
      <c r="E23" s="17"/>
      <c r="F23" s="19" t="str">
        <f>IF(Tab_Contribuicoes[[#This Row],[DATA PGTO]]="","",PROPER(TEXT(Tab_Contribuicoes[[#This Row],[DATA PGTO]],"mmm")))</f>
        <v>Fev</v>
      </c>
    </row>
    <row r="24" spans="2:6" ht="18" customHeight="1" x14ac:dyDescent="0.25">
      <c r="B24" s="25">
        <v>46063</v>
      </c>
      <c r="C24" s="17" t="s">
        <v>57</v>
      </c>
      <c r="D24" s="26">
        <v>100</v>
      </c>
      <c r="E24" s="17"/>
      <c r="F24" s="19" t="str">
        <f>IF(Tab_Contribuicoes[[#This Row],[DATA PGTO]]="","",PROPER(TEXT(Tab_Contribuicoes[[#This Row],[DATA PGTO]],"mmm")))</f>
        <v>Fev</v>
      </c>
    </row>
    <row r="25" spans="2:6" ht="18" customHeight="1" x14ac:dyDescent="0.25">
      <c r="B25" s="25">
        <v>46063</v>
      </c>
      <c r="C25" s="17" t="s">
        <v>59</v>
      </c>
      <c r="D25" s="26">
        <v>100</v>
      </c>
      <c r="E25" s="17"/>
      <c r="F25" s="19" t="str">
        <f>IF(Tab_Contribuicoes[[#This Row],[DATA PGTO]]="","",PROPER(TEXT(Tab_Contribuicoes[[#This Row],[DATA PGTO]],"mmm")))</f>
        <v>Fev</v>
      </c>
    </row>
    <row r="26" spans="2:6" ht="18" customHeight="1" x14ac:dyDescent="0.25">
      <c r="B26" s="25">
        <v>46063</v>
      </c>
      <c r="C26" s="17" t="s">
        <v>61</v>
      </c>
      <c r="D26" s="26">
        <v>100</v>
      </c>
      <c r="E26" s="17"/>
      <c r="F26" s="19" t="str">
        <f>IF(Tab_Contribuicoes[[#This Row],[DATA PGTO]]="","",PROPER(TEXT(Tab_Contribuicoes[[#This Row],[DATA PGTO]],"mmm")))</f>
        <v>Fev</v>
      </c>
    </row>
    <row r="27" spans="2:6" ht="18" customHeight="1" x14ac:dyDescent="0.25">
      <c r="B27" s="25">
        <v>46091</v>
      </c>
      <c r="C27" s="17" t="s">
        <v>43</v>
      </c>
      <c r="D27" s="26">
        <v>100</v>
      </c>
      <c r="E27" s="17"/>
      <c r="F27" s="19" t="str">
        <f>IF(Tab_Contribuicoes[[#This Row],[DATA PGTO]]="","",PROPER(TEXT(Tab_Contribuicoes[[#This Row],[DATA PGTO]],"mmm")))</f>
        <v>Mar</v>
      </c>
    </row>
    <row r="28" spans="2:6" ht="18" customHeight="1" x14ac:dyDescent="0.25">
      <c r="B28" s="25">
        <v>46091</v>
      </c>
      <c r="C28" s="17" t="s">
        <v>45</v>
      </c>
      <c r="D28" s="26">
        <v>100</v>
      </c>
      <c r="E28" s="17"/>
      <c r="F28" s="19" t="str">
        <f>IF(Tab_Contribuicoes[[#This Row],[DATA PGTO]]="","",PROPER(TEXT(Tab_Contribuicoes[[#This Row],[DATA PGTO]],"mmm")))</f>
        <v>Mar</v>
      </c>
    </row>
    <row r="29" spans="2:6" ht="18" customHeight="1" x14ac:dyDescent="0.25">
      <c r="B29" s="25">
        <v>46091</v>
      </c>
      <c r="C29" s="17" t="s">
        <v>47</v>
      </c>
      <c r="D29" s="26">
        <v>100</v>
      </c>
      <c r="E29" s="17"/>
      <c r="F29" s="19" t="str">
        <f>IF(Tab_Contribuicoes[[#This Row],[DATA PGTO]]="","",PROPER(TEXT(Tab_Contribuicoes[[#This Row],[DATA PGTO]],"mmm")))</f>
        <v>Mar</v>
      </c>
    </row>
    <row r="30" spans="2:6" ht="18" customHeight="1" x14ac:dyDescent="0.25">
      <c r="B30" s="25">
        <v>46091</v>
      </c>
      <c r="C30" s="17" t="s">
        <v>49</v>
      </c>
      <c r="D30" s="26">
        <v>0</v>
      </c>
      <c r="E30" s="17"/>
      <c r="F30" s="19" t="str">
        <f>IF(Tab_Contribuicoes[[#This Row],[DATA PGTO]]="","",PROPER(TEXT(Tab_Contribuicoes[[#This Row],[DATA PGTO]],"mmm")))</f>
        <v>Mar</v>
      </c>
    </row>
    <row r="31" spans="2:6" ht="18" customHeight="1" x14ac:dyDescent="0.25">
      <c r="B31" s="25">
        <v>46091</v>
      </c>
      <c r="C31" s="17" t="s">
        <v>51</v>
      </c>
      <c r="D31" s="26">
        <v>100</v>
      </c>
      <c r="E31" s="17"/>
      <c r="F31" s="19" t="str">
        <f>IF(Tab_Contribuicoes[[#This Row],[DATA PGTO]]="","",PROPER(TEXT(Tab_Contribuicoes[[#This Row],[DATA PGTO]],"mmm")))</f>
        <v>Mar</v>
      </c>
    </row>
    <row r="32" spans="2:6" ht="18" customHeight="1" x14ac:dyDescent="0.25">
      <c r="B32" s="25">
        <v>46091</v>
      </c>
      <c r="C32" s="17" t="s">
        <v>53</v>
      </c>
      <c r="D32" s="26">
        <v>100</v>
      </c>
      <c r="E32" s="17"/>
      <c r="F32" s="19" t="str">
        <f>IF(Tab_Contribuicoes[[#This Row],[DATA PGTO]]="","",PROPER(TEXT(Tab_Contribuicoes[[#This Row],[DATA PGTO]],"mmm")))</f>
        <v>Mar</v>
      </c>
    </row>
    <row r="33" spans="2:6" ht="18" customHeight="1" x14ac:dyDescent="0.25">
      <c r="B33" s="25">
        <v>46091</v>
      </c>
      <c r="C33" s="17" t="s">
        <v>55</v>
      </c>
      <c r="D33" s="26">
        <v>100</v>
      </c>
      <c r="E33" s="17"/>
      <c r="F33" s="19" t="str">
        <f>IF(Tab_Contribuicoes[[#This Row],[DATA PGTO]]="","",PROPER(TEXT(Tab_Contribuicoes[[#This Row],[DATA PGTO]],"mmm")))</f>
        <v>Mar</v>
      </c>
    </row>
    <row r="34" spans="2:6" ht="18" customHeight="1" x14ac:dyDescent="0.25">
      <c r="B34" s="25">
        <v>46091</v>
      </c>
      <c r="C34" s="17" t="s">
        <v>57</v>
      </c>
      <c r="D34" s="26">
        <v>100</v>
      </c>
      <c r="E34" s="17"/>
      <c r="F34" s="19" t="str">
        <f>IF(Tab_Contribuicoes[[#This Row],[DATA PGTO]]="","",PROPER(TEXT(Tab_Contribuicoes[[#This Row],[DATA PGTO]],"mmm")))</f>
        <v>Mar</v>
      </c>
    </row>
    <row r="35" spans="2:6" ht="18" customHeight="1" x14ac:dyDescent="0.25">
      <c r="B35" s="25">
        <v>46091</v>
      </c>
      <c r="C35" s="17" t="s">
        <v>59</v>
      </c>
      <c r="D35" s="26">
        <v>100</v>
      </c>
      <c r="E35" s="17"/>
      <c r="F35" s="19" t="str">
        <f>IF(Tab_Contribuicoes[[#This Row],[DATA PGTO]]="","",PROPER(TEXT(Tab_Contribuicoes[[#This Row],[DATA PGTO]],"mmm")))</f>
        <v>Mar</v>
      </c>
    </row>
    <row r="36" spans="2:6" ht="18" customHeight="1" x14ac:dyDescent="0.25">
      <c r="B36" s="25">
        <v>46122</v>
      </c>
      <c r="C36" s="17" t="s">
        <v>43</v>
      </c>
      <c r="D36" s="26">
        <v>100</v>
      </c>
      <c r="E36" s="17"/>
      <c r="F36" s="19" t="str">
        <f>IF(Tab_Contribuicoes[[#This Row],[DATA PGTO]]="","",PROPER(TEXT(Tab_Contribuicoes[[#This Row],[DATA PGTO]],"mmm")))</f>
        <v>Abr</v>
      </c>
    </row>
    <row r="37" spans="2:6" ht="18" customHeight="1" x14ac:dyDescent="0.25">
      <c r="B37" s="25">
        <v>46122</v>
      </c>
      <c r="C37" s="17" t="s">
        <v>45</v>
      </c>
      <c r="D37" s="26">
        <v>100</v>
      </c>
      <c r="E37" s="17"/>
      <c r="F37" s="19" t="str">
        <f>IF(Tab_Contribuicoes[[#This Row],[DATA PGTO]]="","",PROPER(TEXT(Tab_Contribuicoes[[#This Row],[DATA PGTO]],"mmm")))</f>
        <v>Abr</v>
      </c>
    </row>
    <row r="38" spans="2:6" ht="18" customHeight="1" x14ac:dyDescent="0.25">
      <c r="B38" s="25">
        <v>46122</v>
      </c>
      <c r="C38" s="17" t="s">
        <v>47</v>
      </c>
      <c r="D38" s="26">
        <v>100</v>
      </c>
      <c r="E38" s="17"/>
      <c r="F38" s="19" t="str">
        <f>IF(Tab_Contribuicoes[[#This Row],[DATA PGTO]]="","",PROPER(TEXT(Tab_Contribuicoes[[#This Row],[DATA PGTO]],"mmm")))</f>
        <v>Abr</v>
      </c>
    </row>
    <row r="39" spans="2:6" ht="18" customHeight="1" x14ac:dyDescent="0.25">
      <c r="B39" s="25">
        <v>46122</v>
      </c>
      <c r="C39" s="17" t="s">
        <v>49</v>
      </c>
      <c r="D39" s="26">
        <v>100</v>
      </c>
      <c r="E39" s="17"/>
      <c r="F39" s="19" t="str">
        <f>IF(Tab_Contribuicoes[[#This Row],[DATA PGTO]]="","",PROPER(TEXT(Tab_Contribuicoes[[#This Row],[DATA PGTO]],"mmm")))</f>
        <v>Abr</v>
      </c>
    </row>
    <row r="40" spans="2:6" ht="18" customHeight="1" x14ac:dyDescent="0.25">
      <c r="B40" s="25">
        <v>46122</v>
      </c>
      <c r="C40" s="17" t="s">
        <v>51</v>
      </c>
      <c r="D40" s="26">
        <v>100</v>
      </c>
      <c r="E40" s="17"/>
      <c r="F40" s="19" t="str">
        <f>IF(Tab_Contribuicoes[[#This Row],[DATA PGTO]]="","",PROPER(TEXT(Tab_Contribuicoes[[#This Row],[DATA PGTO]],"mmm")))</f>
        <v>Abr</v>
      </c>
    </row>
    <row r="41" spans="2:6" ht="18" customHeight="1" x14ac:dyDescent="0.25">
      <c r="B41" s="25">
        <v>46122</v>
      </c>
      <c r="C41" s="17" t="s">
        <v>53</v>
      </c>
      <c r="D41" s="26">
        <v>100</v>
      </c>
      <c r="E41" s="17"/>
      <c r="F41" s="19" t="str">
        <f>IF(Tab_Contribuicoes[[#This Row],[DATA PGTO]]="","",PROPER(TEXT(Tab_Contribuicoes[[#This Row],[DATA PGTO]],"mmm")))</f>
        <v>Abr</v>
      </c>
    </row>
    <row r="42" spans="2:6" ht="18" customHeight="1" x14ac:dyDescent="0.25">
      <c r="B42" s="25">
        <v>46122</v>
      </c>
      <c r="C42" s="17" t="s">
        <v>55</v>
      </c>
      <c r="D42" s="26">
        <v>100</v>
      </c>
      <c r="E42" s="17"/>
      <c r="F42" s="19" t="str">
        <f>IF(Tab_Contribuicoes[[#This Row],[DATA PGTO]]="","",PROPER(TEXT(Tab_Contribuicoes[[#This Row],[DATA PGTO]],"mmm")))</f>
        <v>Abr</v>
      </c>
    </row>
    <row r="43" spans="2:6" ht="18" customHeight="1" x14ac:dyDescent="0.25">
      <c r="B43" s="25">
        <v>46122</v>
      </c>
      <c r="C43" s="17" t="s">
        <v>57</v>
      </c>
      <c r="D43" s="26">
        <v>100</v>
      </c>
      <c r="E43" s="17"/>
      <c r="F43" s="19" t="str">
        <f>IF(Tab_Contribuicoes[[#This Row],[DATA PGTO]]="","",PROPER(TEXT(Tab_Contribuicoes[[#This Row],[DATA PGTO]],"mmm")))</f>
        <v>Abr</v>
      </c>
    </row>
    <row r="44" spans="2:6" ht="18" customHeight="1" x14ac:dyDescent="0.25">
      <c r="B44" s="25">
        <v>46122</v>
      </c>
      <c r="C44" s="17" t="s">
        <v>59</v>
      </c>
      <c r="D44" s="26">
        <v>100</v>
      </c>
      <c r="E44" s="17"/>
      <c r="F44" s="19" t="str">
        <f>IF(Tab_Contribuicoes[[#This Row],[DATA PGTO]]="","",PROPER(TEXT(Tab_Contribuicoes[[#This Row],[DATA PGTO]],"mmm")))</f>
        <v>Abr</v>
      </c>
    </row>
    <row r="45" spans="2:6" ht="18" customHeight="1" x14ac:dyDescent="0.25">
      <c r="B45" s="25">
        <v>46122</v>
      </c>
      <c r="C45" s="17" t="s">
        <v>61</v>
      </c>
      <c r="D45" s="26">
        <v>100</v>
      </c>
      <c r="E45" s="17"/>
      <c r="F45" s="19" t="str">
        <f>IF(Tab_Contribuicoes[[#This Row],[DATA PGTO]]="","",PROPER(TEXT(Tab_Contribuicoes[[#This Row],[DATA PGTO]],"mmm")))</f>
        <v>Abr</v>
      </c>
    </row>
  </sheetData>
  <dataValidations count="1">
    <dataValidation type="list" allowBlank="1" showInputMessage="1" showErrorMessage="1" sqref="C7:C45" xr:uid="{B721ACAB-2DC1-4557-9C7B-FD65C638C4F5}">
      <formula1>NOME</formula1>
    </dataValidation>
  </dataValidation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C75BB-1636-4510-8CA7-BA61620900BC}">
  <dimension ref="B4:K13"/>
  <sheetViews>
    <sheetView showGridLines="0" workbookViewId="0">
      <pane ySplit="6" topLeftCell="A8" activePane="bottomLeft" state="frozen"/>
      <selection pane="bottomLeft"/>
    </sheetView>
  </sheetViews>
  <sheetFormatPr defaultRowHeight="18" customHeight="1" x14ac:dyDescent="0.25"/>
  <cols>
    <col min="1" max="1" width="1.7109375" style="1" customWidth="1"/>
    <col min="2" max="3" width="17.85546875" style="1" customWidth="1"/>
    <col min="4" max="4" width="36.85546875" style="1" customWidth="1"/>
    <col min="5" max="5" width="16" style="1" bestFit="1" customWidth="1"/>
    <col min="6" max="6" width="12.5703125" style="1" customWidth="1"/>
    <col min="7" max="7" width="12.140625" style="1" bestFit="1" customWidth="1"/>
    <col min="8" max="8" width="15.5703125" style="1" bestFit="1" customWidth="1"/>
    <col min="9" max="9" width="14.42578125" style="1" customWidth="1"/>
    <col min="10" max="10" width="15" style="1" customWidth="1"/>
    <col min="11" max="11" width="12.5703125" style="1" customWidth="1"/>
    <col min="12" max="16384" width="9.140625" style="1"/>
  </cols>
  <sheetData>
    <row r="4" spans="2:11" s="3" customFormat="1" ht="21.95" customHeight="1" thickBot="1" x14ac:dyDescent="0.3">
      <c r="B4" s="4" t="s">
        <v>90</v>
      </c>
      <c r="C4" s="4"/>
    </row>
    <row r="5" spans="2:11" ht="8.1" customHeight="1" thickTop="1" x14ac:dyDescent="0.25"/>
    <row r="6" spans="2:11" ht="30" customHeight="1" x14ac:dyDescent="0.25">
      <c r="B6" s="5" t="s">
        <v>71</v>
      </c>
      <c r="C6" s="5" t="s">
        <v>0</v>
      </c>
      <c r="D6" s="5" t="s">
        <v>68</v>
      </c>
      <c r="E6" s="5" t="s">
        <v>72</v>
      </c>
      <c r="F6" s="6" t="s">
        <v>73</v>
      </c>
      <c r="G6" s="6" t="s">
        <v>74</v>
      </c>
      <c r="H6" s="6" t="s">
        <v>75</v>
      </c>
      <c r="I6" s="6" t="s">
        <v>76</v>
      </c>
      <c r="J6" s="6" t="s">
        <v>77</v>
      </c>
      <c r="K6" s="6" t="s">
        <v>15</v>
      </c>
    </row>
    <row r="7" spans="2:11" ht="18" customHeight="1" x14ac:dyDescent="0.25">
      <c r="B7" s="27" t="s">
        <v>78</v>
      </c>
      <c r="C7" s="25">
        <v>46034</v>
      </c>
      <c r="D7" s="17" t="s">
        <v>43</v>
      </c>
      <c r="E7" s="26">
        <v>300</v>
      </c>
      <c r="F7" s="18">
        <f>Tab_Emprestimos[[#This Row],[VALOR EMPRESTADO]]*PARTICIPANTES!$C$8</f>
        <v>45</v>
      </c>
      <c r="G7" s="18">
        <f>Tab_Emprestimos[[#This Row],[VALOR EMPRESTADO]]+Tab_Emprestimos[[#This Row],[JUROS]]</f>
        <v>345</v>
      </c>
      <c r="H7" s="18">
        <f>SUMIFS(Tab_PgtoEmprestimos[VALOR PAGO],Tab_PgtoEmprestimos[ID EMPRÉSTIMOS],Tab_Emprestimos[[#This Row],[ID EMPRÉSTIMOS]])</f>
        <v>345</v>
      </c>
      <c r="I7" s="18">
        <f>Tab_Emprestimos[[#This Row],[TOTAL A PAGAR]]-Tab_Emprestimos[[#This Row],[TOTAL PAGO]]</f>
        <v>0</v>
      </c>
      <c r="J7" s="19" t="str">
        <f>IF(Tab_Emprestimos[[#This Row],[SALDO EM ABERTO]]&lt;=0,"Quitado","Em aberto")</f>
        <v>Quitado</v>
      </c>
      <c r="K7" s="19" t="str">
        <f>IF(Tab_Emprestimos[[#This Row],[DATA]]="","",PROPER(TEXT(Tab_Emprestimos[[#This Row],[DATA]],"mmm")))</f>
        <v>Jan</v>
      </c>
    </row>
    <row r="8" spans="2:11" ht="18" customHeight="1" x14ac:dyDescent="0.25">
      <c r="B8" s="27" t="s">
        <v>79</v>
      </c>
      <c r="C8" s="25">
        <v>46037</v>
      </c>
      <c r="D8" s="17" t="s">
        <v>45</v>
      </c>
      <c r="E8" s="26">
        <v>500</v>
      </c>
      <c r="F8" s="18">
        <f>Tab_Emprestimos[[#This Row],[VALOR EMPRESTADO]]*PARTICIPANTES!$C$8</f>
        <v>75</v>
      </c>
      <c r="G8" s="18">
        <f>Tab_Emprestimos[[#This Row],[VALOR EMPRESTADO]]+Tab_Emprestimos[[#This Row],[JUROS]]</f>
        <v>575</v>
      </c>
      <c r="H8" s="18">
        <f>SUMIFS(Tab_PgtoEmprestimos[VALOR PAGO],Tab_PgtoEmprestimos[ID EMPRÉSTIMOS],Tab_Emprestimos[[#This Row],[ID EMPRÉSTIMOS]])</f>
        <v>575</v>
      </c>
      <c r="I8" s="18">
        <f>Tab_Emprestimos[[#This Row],[TOTAL A PAGAR]]-Tab_Emprestimos[[#This Row],[TOTAL PAGO]]</f>
        <v>0</v>
      </c>
      <c r="J8" s="19" t="str">
        <f>IF(Tab_Emprestimos[[#This Row],[SALDO EM ABERTO]]&lt;=0,"Quitado","Em aberto")</f>
        <v>Quitado</v>
      </c>
      <c r="K8" s="19" t="str">
        <f>IF(Tab_Emprestimos[[#This Row],[DATA]]="","",PROPER(TEXT(Tab_Emprestimos[[#This Row],[DATA]],"mmm")))</f>
        <v>Jan</v>
      </c>
    </row>
    <row r="9" spans="2:11" ht="18" customHeight="1" x14ac:dyDescent="0.25">
      <c r="B9" s="27" t="s">
        <v>80</v>
      </c>
      <c r="C9" s="25">
        <v>46034</v>
      </c>
      <c r="D9" s="17" t="s">
        <v>47</v>
      </c>
      <c r="E9" s="26">
        <v>250</v>
      </c>
      <c r="F9" s="18">
        <f>Tab_Emprestimos[[#This Row],[VALOR EMPRESTADO]]*PARTICIPANTES!$C$8</f>
        <v>37.5</v>
      </c>
      <c r="G9" s="18">
        <f>Tab_Emprestimos[[#This Row],[VALOR EMPRESTADO]]+Tab_Emprestimos[[#This Row],[JUROS]]</f>
        <v>287.5</v>
      </c>
      <c r="H9" s="18">
        <f>SUMIFS(Tab_PgtoEmprestimos[VALOR PAGO],Tab_PgtoEmprestimos[ID EMPRÉSTIMOS],Tab_Emprestimos[[#This Row],[ID EMPRÉSTIMOS]])</f>
        <v>287.5</v>
      </c>
      <c r="I9" s="18">
        <f>Tab_Emprestimos[[#This Row],[TOTAL A PAGAR]]-Tab_Emprestimos[[#This Row],[TOTAL PAGO]]</f>
        <v>0</v>
      </c>
      <c r="J9" s="19" t="str">
        <f>IF(Tab_Emprestimos[[#This Row],[SALDO EM ABERTO]]&lt;=0,"Quitado","Em aberto")</f>
        <v>Quitado</v>
      </c>
      <c r="K9" s="19" t="str">
        <f>IF(Tab_Emprestimos[[#This Row],[DATA]]="","",PROPER(TEXT(Tab_Emprestimos[[#This Row],[DATA]],"mmm")))</f>
        <v>Jan</v>
      </c>
    </row>
    <row r="10" spans="2:11" ht="18" customHeight="1" x14ac:dyDescent="0.25">
      <c r="B10" s="27" t="s">
        <v>81</v>
      </c>
      <c r="C10" s="25">
        <v>46063</v>
      </c>
      <c r="D10" s="17" t="s">
        <v>49</v>
      </c>
      <c r="E10" s="26">
        <v>400</v>
      </c>
      <c r="F10" s="18">
        <f>Tab_Emprestimos[[#This Row],[VALOR EMPRESTADO]]*PARTICIPANTES!$C$8</f>
        <v>60</v>
      </c>
      <c r="G10" s="18">
        <f>Tab_Emprestimos[[#This Row],[VALOR EMPRESTADO]]+Tab_Emprestimos[[#This Row],[JUROS]]</f>
        <v>460</v>
      </c>
      <c r="H10" s="18">
        <f>SUMIFS(Tab_PgtoEmprestimos[VALOR PAGO],Tab_PgtoEmprestimos[ID EMPRÉSTIMOS],Tab_Emprestimos[[#This Row],[ID EMPRÉSTIMOS]])</f>
        <v>200</v>
      </c>
      <c r="I10" s="18">
        <f>Tab_Emprestimos[[#This Row],[TOTAL A PAGAR]]-Tab_Emprestimos[[#This Row],[TOTAL PAGO]]</f>
        <v>260</v>
      </c>
      <c r="J10" s="19" t="str">
        <f>IF(Tab_Emprestimos[[#This Row],[SALDO EM ABERTO]]&lt;=0,"Quitado","Em aberto")</f>
        <v>Em aberto</v>
      </c>
      <c r="K10" s="19" t="str">
        <f>IF(Tab_Emprestimos[[#This Row],[DATA]]="","",PROPER(TEXT(Tab_Emprestimos[[#This Row],[DATA]],"mmm")))</f>
        <v>Fev</v>
      </c>
    </row>
    <row r="11" spans="2:11" ht="18" customHeight="1" x14ac:dyDescent="0.25">
      <c r="B11" s="27" t="s">
        <v>82</v>
      </c>
      <c r="C11" s="25">
        <v>46063</v>
      </c>
      <c r="D11" s="17" t="s">
        <v>51</v>
      </c>
      <c r="E11" s="26">
        <v>350</v>
      </c>
      <c r="F11" s="18">
        <f>Tab_Emprestimos[[#This Row],[VALOR EMPRESTADO]]*PARTICIPANTES!$C$8</f>
        <v>52.5</v>
      </c>
      <c r="G11" s="18">
        <f>Tab_Emprestimos[[#This Row],[VALOR EMPRESTADO]]+Tab_Emprestimos[[#This Row],[JUROS]]</f>
        <v>402.5</v>
      </c>
      <c r="H11" s="18">
        <f>SUMIFS(Tab_PgtoEmprestimos[VALOR PAGO],Tab_PgtoEmprestimos[ID EMPRÉSTIMOS],Tab_Emprestimos[[#This Row],[ID EMPRÉSTIMOS]])</f>
        <v>300</v>
      </c>
      <c r="I11" s="18">
        <f>Tab_Emprestimos[[#This Row],[TOTAL A PAGAR]]-Tab_Emprestimos[[#This Row],[TOTAL PAGO]]</f>
        <v>102.5</v>
      </c>
      <c r="J11" s="19" t="str">
        <f>IF(Tab_Emprestimos[[#This Row],[SALDO EM ABERTO]]&lt;=0,"Quitado","Em aberto")</f>
        <v>Em aberto</v>
      </c>
      <c r="K11" s="19" t="str">
        <f>IF(Tab_Emprestimos[[#This Row],[DATA]]="","",PROPER(TEXT(Tab_Emprestimos[[#This Row],[DATA]],"mmm")))</f>
        <v>Fev</v>
      </c>
    </row>
    <row r="12" spans="2:11" ht="18" customHeight="1" x14ac:dyDescent="0.25">
      <c r="B12" s="27" t="s">
        <v>83</v>
      </c>
      <c r="C12" s="25">
        <v>46068</v>
      </c>
      <c r="D12" s="17" t="s">
        <v>55</v>
      </c>
      <c r="E12" s="26">
        <v>200</v>
      </c>
      <c r="F12" s="18">
        <f>Tab_Emprestimos[[#This Row],[VALOR EMPRESTADO]]*PARTICIPANTES!$C$8</f>
        <v>30</v>
      </c>
      <c r="G12" s="18">
        <f>Tab_Emprestimos[[#This Row],[VALOR EMPRESTADO]]+Tab_Emprestimos[[#This Row],[JUROS]]</f>
        <v>230</v>
      </c>
      <c r="H12" s="18">
        <f>SUMIFS(Tab_PgtoEmprestimos[VALOR PAGO],Tab_PgtoEmprestimos[ID EMPRÉSTIMOS],Tab_Emprestimos[[#This Row],[ID EMPRÉSTIMOS]])</f>
        <v>100</v>
      </c>
      <c r="I12" s="18">
        <f>Tab_Emprestimos[[#This Row],[TOTAL A PAGAR]]-Tab_Emprestimos[[#This Row],[TOTAL PAGO]]</f>
        <v>130</v>
      </c>
      <c r="J12" s="19" t="str">
        <f>IF(Tab_Emprestimos[[#This Row],[SALDO EM ABERTO]]&lt;=0,"Quitado","Em aberto")</f>
        <v>Em aberto</v>
      </c>
      <c r="K12" s="19" t="str">
        <f>IF(Tab_Emprestimos[[#This Row],[DATA]]="","",PROPER(TEXT(Tab_Emprestimos[[#This Row],[DATA]],"mmm")))</f>
        <v>Fev</v>
      </c>
    </row>
    <row r="13" spans="2:11" ht="18" customHeight="1" x14ac:dyDescent="0.25">
      <c r="B13" s="27">
        <v>1117</v>
      </c>
      <c r="C13" s="25">
        <v>46073</v>
      </c>
      <c r="D13" s="17" t="s">
        <v>45</v>
      </c>
      <c r="E13" s="26">
        <v>100</v>
      </c>
      <c r="F13" s="18">
        <f>Tab_Emprestimos[[#This Row],[VALOR EMPRESTADO]]*PARTICIPANTES!$C$8</f>
        <v>15</v>
      </c>
      <c r="G13" s="18">
        <f>Tab_Emprestimos[[#This Row],[VALOR EMPRESTADO]]+Tab_Emprestimos[[#This Row],[JUROS]]</f>
        <v>115</v>
      </c>
      <c r="H13" s="18">
        <f>SUMIFS(Tab_PgtoEmprestimos[VALOR PAGO],Tab_PgtoEmprestimos[ID EMPRÉSTIMOS],Tab_Emprestimos[[#This Row],[ID EMPRÉSTIMOS]])</f>
        <v>115</v>
      </c>
      <c r="I13" s="18">
        <f>Tab_Emprestimos[[#This Row],[TOTAL A PAGAR]]-Tab_Emprestimos[[#This Row],[TOTAL PAGO]]</f>
        <v>0</v>
      </c>
      <c r="J13" s="19" t="str">
        <f>IF(Tab_Emprestimos[[#This Row],[SALDO EM ABERTO]]&lt;=0,"Quitado","Em aberto")</f>
        <v>Quitado</v>
      </c>
      <c r="K13" s="19" t="str">
        <f>IF(Tab_Emprestimos[[#This Row],[DATA]]="","",PROPER(TEXT(Tab_Emprestimos[[#This Row],[DATA]],"mmm")))</f>
        <v>Fev</v>
      </c>
    </row>
  </sheetData>
  <phoneticPr fontId="4" type="noConversion"/>
  <conditionalFormatting sqref="J7:J13">
    <cfRule type="containsText" dxfId="1" priority="1" operator="containsText" text="em aberto">
      <formula>NOT(ISERROR(SEARCH("em aberto",J7)))</formula>
    </cfRule>
  </conditionalFormatting>
  <dataValidations count="1">
    <dataValidation type="list" allowBlank="1" showInputMessage="1" showErrorMessage="1" sqref="D7:D13" xr:uid="{C5156788-F557-4308-96B2-66B537E8F1B1}">
      <formula1>NOME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AE4A0-5DCE-40F6-99CF-AB45742D8AAB}">
  <dimension ref="B4:H19"/>
  <sheetViews>
    <sheetView showGridLines="0" workbookViewId="0">
      <pane ySplit="6" topLeftCell="A7" activePane="bottomLeft" state="frozen"/>
      <selection pane="bottomLeft"/>
    </sheetView>
  </sheetViews>
  <sheetFormatPr defaultRowHeight="18" customHeight="1" x14ac:dyDescent="0.25"/>
  <cols>
    <col min="1" max="1" width="1.7109375" style="1" customWidth="1"/>
    <col min="2" max="3" width="17.85546875" style="1" customWidth="1"/>
    <col min="4" max="4" width="23.85546875" style="1" customWidth="1"/>
    <col min="5" max="5" width="16" style="1" bestFit="1" customWidth="1"/>
    <col min="6" max="6" width="12.5703125" style="1" customWidth="1"/>
    <col min="7" max="16384" width="9.140625" style="1"/>
  </cols>
  <sheetData>
    <row r="4" spans="2:8" s="3" customFormat="1" ht="21.95" customHeight="1" thickBot="1" x14ac:dyDescent="0.3">
      <c r="B4" s="4" t="s">
        <v>91</v>
      </c>
      <c r="C4" s="4"/>
    </row>
    <row r="5" spans="2:8" ht="8.1" customHeight="1" thickTop="1" x14ac:dyDescent="0.25"/>
    <row r="6" spans="2:8" ht="30" customHeight="1" x14ac:dyDescent="0.25">
      <c r="B6" s="5" t="s">
        <v>67</v>
      </c>
      <c r="C6" s="5" t="s">
        <v>71</v>
      </c>
      <c r="D6" s="6" t="s">
        <v>68</v>
      </c>
      <c r="E6" s="5" t="s">
        <v>69</v>
      </c>
      <c r="F6" s="6" t="s">
        <v>15</v>
      </c>
    </row>
    <row r="7" spans="2:8" ht="18" customHeight="1" x14ac:dyDescent="0.25">
      <c r="B7" s="25">
        <v>46042</v>
      </c>
      <c r="C7" s="27" t="s">
        <v>78</v>
      </c>
      <c r="D7" s="28" t="str">
        <f>IFERROR(IF(INDEX(Tab_Emprestimos[PARTICIPANTE],MATCH(Tab_PgtoEmprestimos[[#This Row],[ID EMPRÉSTIMOS]],Tab_Emprestimos[ID EMPRÉSTIMOS],0))=0,"",INDEX(Tab_Emprestimos[PARTICIPANTE],MATCH(Tab_PgtoEmprestimos[[#This Row],[ID EMPRÉSTIMOS]],Tab_Emprestimos[ID EMPRÉSTIMOS],0))),"")</f>
        <v>Ana</v>
      </c>
      <c r="E7" s="26">
        <v>150</v>
      </c>
      <c r="F7" s="19" t="str">
        <f>IF(Tab_PgtoEmprestimos[[#This Row],[DATA PGTO]]="","",PROPER(TEXT(Tab_PgtoEmprestimos[[#This Row],[DATA PGTO]],"mmm")))</f>
        <v>Jan</v>
      </c>
      <c r="H7" s="29"/>
    </row>
    <row r="8" spans="2:8" ht="18" customHeight="1" x14ac:dyDescent="0.25">
      <c r="B8" s="25">
        <v>46049</v>
      </c>
      <c r="C8" s="27" t="s">
        <v>78</v>
      </c>
      <c r="D8" s="28" t="str">
        <f>IFERROR(IF(INDEX(Tab_Emprestimos[PARTICIPANTE],MATCH(Tab_PgtoEmprestimos[[#This Row],[ID EMPRÉSTIMOS]],Tab_Emprestimos[ID EMPRÉSTIMOS],0))=0,"",INDEX(Tab_Emprestimos[PARTICIPANTE],MATCH(Tab_PgtoEmprestimos[[#This Row],[ID EMPRÉSTIMOS]],Tab_Emprestimos[ID EMPRÉSTIMOS],0))),"")</f>
        <v>Ana</v>
      </c>
      <c r="E8" s="26">
        <v>195</v>
      </c>
      <c r="F8" s="19" t="str">
        <f>IF(Tab_PgtoEmprestimos[[#This Row],[DATA PGTO]]="","",PROPER(TEXT(Tab_PgtoEmprestimos[[#This Row],[DATA PGTO]],"mmm")))</f>
        <v>Jan</v>
      </c>
      <c r="H8" s="29"/>
    </row>
    <row r="9" spans="2:8" ht="18" customHeight="1" x14ac:dyDescent="0.25">
      <c r="B9" s="25">
        <v>46051</v>
      </c>
      <c r="C9" s="27" t="s">
        <v>79</v>
      </c>
      <c r="D9" s="28" t="str">
        <f>IFERROR(IF(INDEX(Tab_Emprestimos[PARTICIPANTE],MATCH(Tab_PgtoEmprestimos[[#This Row],[ID EMPRÉSTIMOS]],Tab_Emprestimos[ID EMPRÉSTIMOS],0))=0,"",INDEX(Tab_Emprestimos[PARTICIPANTE],MATCH(Tab_PgtoEmprestimos[[#This Row],[ID EMPRÉSTIMOS]],Tab_Emprestimos[ID EMPRÉSTIMOS],0))),"")</f>
        <v>Bruno</v>
      </c>
      <c r="E9" s="26">
        <v>200</v>
      </c>
      <c r="F9" s="19" t="str">
        <f>IF(Tab_PgtoEmprestimos[[#This Row],[DATA PGTO]]="","",PROPER(TEXT(Tab_PgtoEmprestimos[[#This Row],[DATA PGTO]],"mmm")))</f>
        <v>Jan</v>
      </c>
    </row>
    <row r="10" spans="2:8" ht="18" customHeight="1" x14ac:dyDescent="0.25">
      <c r="B10" s="25">
        <v>46052</v>
      </c>
      <c r="C10" s="27" t="s">
        <v>79</v>
      </c>
      <c r="D10" s="28" t="str">
        <f>IFERROR(IF(INDEX(Tab_Emprestimos[PARTICIPANTE],MATCH(Tab_PgtoEmprestimos[[#This Row],[ID EMPRÉSTIMOS]],Tab_Emprestimos[ID EMPRÉSTIMOS],0))=0,"",INDEX(Tab_Emprestimos[PARTICIPANTE],MATCH(Tab_PgtoEmprestimos[[#This Row],[ID EMPRÉSTIMOS]],Tab_Emprestimos[ID EMPRÉSTIMOS],0))),"")</f>
        <v>Bruno</v>
      </c>
      <c r="E10" s="26">
        <v>200</v>
      </c>
      <c r="F10" s="19" t="str">
        <f>IF(Tab_PgtoEmprestimos[[#This Row],[DATA PGTO]]="","",PROPER(TEXT(Tab_PgtoEmprestimos[[#This Row],[DATA PGTO]],"mmm")))</f>
        <v>Jan</v>
      </c>
    </row>
    <row r="11" spans="2:8" ht="18" customHeight="1" x14ac:dyDescent="0.25">
      <c r="B11" s="25">
        <v>46065</v>
      </c>
      <c r="C11" s="27" t="s">
        <v>79</v>
      </c>
      <c r="D11" s="28" t="str">
        <f>IFERROR(IF(INDEX(Tab_Emprestimos[PARTICIPANTE],MATCH(Tab_PgtoEmprestimos[[#This Row],[ID EMPRÉSTIMOS]],Tab_Emprestimos[ID EMPRÉSTIMOS],0))=0,"",INDEX(Tab_Emprestimos[PARTICIPANTE],MATCH(Tab_PgtoEmprestimos[[#This Row],[ID EMPRÉSTIMOS]],Tab_Emprestimos[ID EMPRÉSTIMOS],0))),"")</f>
        <v>Bruno</v>
      </c>
      <c r="E11" s="26">
        <v>175</v>
      </c>
      <c r="F11" s="19" t="str">
        <f>IF(Tab_PgtoEmprestimos[[#This Row],[DATA PGTO]]="","",PROPER(TEXT(Tab_PgtoEmprestimos[[#This Row],[DATA PGTO]],"mmm")))</f>
        <v>Fev</v>
      </c>
    </row>
    <row r="12" spans="2:8" ht="18" customHeight="1" x14ac:dyDescent="0.25">
      <c r="B12" s="25">
        <v>46065</v>
      </c>
      <c r="C12" s="27" t="s">
        <v>80</v>
      </c>
      <c r="D12" s="28" t="str">
        <f>IFERROR(IF(INDEX(Tab_Emprestimos[PARTICIPANTE],MATCH(Tab_PgtoEmprestimos[[#This Row],[ID EMPRÉSTIMOS]],Tab_Emprestimos[ID EMPRÉSTIMOS],0))=0,"",INDEX(Tab_Emprestimos[PARTICIPANTE],MATCH(Tab_PgtoEmprestimos[[#This Row],[ID EMPRÉSTIMOS]],Tab_Emprestimos[ID EMPRÉSTIMOS],0))),"")</f>
        <v>Carla</v>
      </c>
      <c r="E12" s="26">
        <v>100</v>
      </c>
      <c r="F12" s="19" t="str">
        <f>IF(Tab_PgtoEmprestimos[[#This Row],[DATA PGTO]]="","",PROPER(TEXT(Tab_PgtoEmprestimos[[#This Row],[DATA PGTO]],"mmm")))</f>
        <v>Fev</v>
      </c>
    </row>
    <row r="13" spans="2:8" ht="18" customHeight="1" x14ac:dyDescent="0.25">
      <c r="B13" s="25">
        <v>46069</v>
      </c>
      <c r="C13" s="27" t="s">
        <v>80</v>
      </c>
      <c r="D13" s="28" t="str">
        <f>IFERROR(IF(INDEX(Tab_Emprestimos[PARTICIPANTE],MATCH(Tab_PgtoEmprestimos[[#This Row],[ID EMPRÉSTIMOS]],Tab_Emprestimos[ID EMPRÉSTIMOS],0))=0,"",INDEX(Tab_Emprestimos[PARTICIPANTE],MATCH(Tab_PgtoEmprestimos[[#This Row],[ID EMPRÉSTIMOS]],Tab_Emprestimos[ID EMPRÉSTIMOS],0))),"")</f>
        <v>Carla</v>
      </c>
      <c r="E13" s="26">
        <v>100</v>
      </c>
      <c r="F13" s="19" t="str">
        <f>IF(Tab_PgtoEmprestimos[[#This Row],[DATA PGTO]]="","",PROPER(TEXT(Tab_PgtoEmprestimos[[#This Row],[DATA PGTO]],"mmm")))</f>
        <v>Fev</v>
      </c>
    </row>
    <row r="14" spans="2:8" ht="18" customHeight="1" x14ac:dyDescent="0.25">
      <c r="B14" s="25">
        <v>46085</v>
      </c>
      <c r="C14" s="27" t="s">
        <v>80</v>
      </c>
      <c r="D14" s="28" t="str">
        <f>IFERROR(IF(INDEX(Tab_Emprestimos[PARTICIPANTE],MATCH(Tab_PgtoEmprestimos[[#This Row],[ID EMPRÉSTIMOS]],Tab_Emprestimos[ID EMPRÉSTIMOS],0))=0,"",INDEX(Tab_Emprestimos[PARTICIPANTE],MATCH(Tab_PgtoEmprestimos[[#This Row],[ID EMPRÉSTIMOS]],Tab_Emprestimos[ID EMPRÉSTIMOS],0))),"")</f>
        <v>Carla</v>
      </c>
      <c r="E14" s="26">
        <v>87.5</v>
      </c>
      <c r="F14" s="19" t="str">
        <f>IF(Tab_PgtoEmprestimos[[#This Row],[DATA PGTO]]="","",PROPER(TEXT(Tab_PgtoEmprestimos[[#This Row],[DATA PGTO]],"mmm")))</f>
        <v>Mar</v>
      </c>
    </row>
    <row r="15" spans="2:8" ht="18" customHeight="1" x14ac:dyDescent="0.25">
      <c r="B15" s="25">
        <v>46086</v>
      </c>
      <c r="C15" s="27" t="s">
        <v>81</v>
      </c>
      <c r="D15" s="28" t="str">
        <f>IFERROR(IF(INDEX(Tab_Emprestimos[PARTICIPANTE],MATCH(Tab_PgtoEmprestimos[[#This Row],[ID EMPRÉSTIMOS]],Tab_Emprestimos[ID EMPRÉSTIMOS],0))=0,"",INDEX(Tab_Emprestimos[PARTICIPANTE],MATCH(Tab_PgtoEmprestimos[[#This Row],[ID EMPRÉSTIMOS]],Tab_Emprestimos[ID EMPRÉSTIMOS],0))),"")</f>
        <v>Diego</v>
      </c>
      <c r="E15" s="26">
        <v>200</v>
      </c>
      <c r="F15" s="19" t="str">
        <f>IF(Tab_PgtoEmprestimos[[#This Row],[DATA PGTO]]="","",PROPER(TEXT(Tab_PgtoEmprestimos[[#This Row],[DATA PGTO]],"mmm")))</f>
        <v>Mar</v>
      </c>
    </row>
    <row r="16" spans="2:8" ht="18" customHeight="1" x14ac:dyDescent="0.25">
      <c r="B16" s="25">
        <v>46092</v>
      </c>
      <c r="C16" s="27" t="s">
        <v>82</v>
      </c>
      <c r="D16" s="28" t="str">
        <f>IFERROR(IF(INDEX(Tab_Emprestimos[PARTICIPANTE],MATCH(Tab_PgtoEmprestimos[[#This Row],[ID EMPRÉSTIMOS]],Tab_Emprestimos[ID EMPRÉSTIMOS],0))=0,"",INDEX(Tab_Emprestimos[PARTICIPANTE],MATCH(Tab_PgtoEmprestimos[[#This Row],[ID EMPRÉSTIMOS]],Tab_Emprestimos[ID EMPRÉSTIMOS],0))),"")</f>
        <v>Elisa</v>
      </c>
      <c r="E16" s="26">
        <v>150</v>
      </c>
      <c r="F16" s="19" t="str">
        <f>IF(Tab_PgtoEmprestimos[[#This Row],[DATA PGTO]]="","",PROPER(TEXT(Tab_PgtoEmprestimos[[#This Row],[DATA PGTO]],"mmm")))</f>
        <v>Mar</v>
      </c>
    </row>
    <row r="17" spans="2:6" ht="18" customHeight="1" x14ac:dyDescent="0.25">
      <c r="B17" s="25">
        <v>46092</v>
      </c>
      <c r="C17" s="27" t="s">
        <v>82</v>
      </c>
      <c r="D17" s="28" t="str">
        <f>IFERROR(IF(INDEX(Tab_Emprestimos[PARTICIPANTE],MATCH(Tab_PgtoEmprestimos[[#This Row],[ID EMPRÉSTIMOS]],Tab_Emprestimos[ID EMPRÉSTIMOS],0))=0,"",INDEX(Tab_Emprestimos[PARTICIPANTE],MATCH(Tab_PgtoEmprestimos[[#This Row],[ID EMPRÉSTIMOS]],Tab_Emprestimos[ID EMPRÉSTIMOS],0))),"")</f>
        <v>Elisa</v>
      </c>
      <c r="E17" s="26">
        <v>150</v>
      </c>
      <c r="F17" s="19" t="str">
        <f>IF(Tab_PgtoEmprestimos[[#This Row],[DATA PGTO]]="","",PROPER(TEXT(Tab_PgtoEmprestimos[[#This Row],[DATA PGTO]],"mmm")))</f>
        <v>Mar</v>
      </c>
    </row>
    <row r="18" spans="2:6" ht="18" customHeight="1" x14ac:dyDescent="0.25">
      <c r="B18" s="25">
        <v>46093</v>
      </c>
      <c r="C18" s="27" t="s">
        <v>83</v>
      </c>
      <c r="D18" s="28" t="str">
        <f>IFERROR(IF(INDEX(Tab_Emprestimos[PARTICIPANTE],MATCH(Tab_PgtoEmprestimos[[#This Row],[ID EMPRÉSTIMOS]],Tab_Emprestimos[ID EMPRÉSTIMOS],0))=0,"",INDEX(Tab_Emprestimos[PARTICIPANTE],MATCH(Tab_PgtoEmprestimos[[#This Row],[ID EMPRÉSTIMOS]],Tab_Emprestimos[ID EMPRÉSTIMOS],0))),"")</f>
        <v>Gabriela</v>
      </c>
      <c r="E18" s="26">
        <v>100</v>
      </c>
      <c r="F18" s="19" t="str">
        <f>IF(Tab_PgtoEmprestimos[[#This Row],[DATA PGTO]]="","",PROPER(TEXT(Tab_PgtoEmprestimos[[#This Row],[DATA PGTO]],"mmm")))</f>
        <v>Mar</v>
      </c>
    </row>
    <row r="19" spans="2:6" ht="18" customHeight="1" x14ac:dyDescent="0.25">
      <c r="B19" s="25">
        <v>46091</v>
      </c>
      <c r="C19" s="27">
        <v>1117</v>
      </c>
      <c r="D19" s="28" t="str">
        <f>IFERROR(IF(INDEX(Tab_Emprestimos[PARTICIPANTE],MATCH(Tab_PgtoEmprestimos[[#This Row],[ID EMPRÉSTIMOS]],Tab_Emprestimos[ID EMPRÉSTIMOS],0))=0,"",INDEX(Tab_Emprestimos[PARTICIPANTE],MATCH(Tab_PgtoEmprestimos[[#This Row],[ID EMPRÉSTIMOS]],Tab_Emprestimos[ID EMPRÉSTIMOS],0))),"")</f>
        <v>Bruno</v>
      </c>
      <c r="E19" s="26">
        <v>115</v>
      </c>
      <c r="F19" s="19" t="str">
        <f>IF(Tab_PgtoEmprestimos[[#This Row],[DATA PGTO]]="","",PROPER(TEXT(Tab_PgtoEmprestimos[[#This Row],[DATA PGTO]],"mmm")))</f>
        <v>Mar</v>
      </c>
    </row>
  </sheetData>
  <sortState xmlns:xlrd2="http://schemas.microsoft.com/office/spreadsheetml/2017/richdata2" ref="J7:J18">
    <sortCondition ref="J7:J18"/>
  </sortState>
  <dataValidations count="1">
    <dataValidation type="list" allowBlank="1" showInputMessage="1" showErrorMessage="1" sqref="C7:C19" xr:uid="{40A935E9-3237-4253-B0E2-4A23F9003641}">
      <formula1>ID_EMPRÉSTIMOS</formula1>
    </dataValidation>
  </dataValidation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E9B3A-5D5F-4E85-90C9-4494D8BFD452}">
  <dimension ref="B4:G21"/>
  <sheetViews>
    <sheetView showGridLines="0" workbookViewId="0">
      <pane ySplit="6" topLeftCell="A7" activePane="bottomLeft" state="frozen"/>
      <selection pane="bottomLeft"/>
    </sheetView>
  </sheetViews>
  <sheetFormatPr defaultRowHeight="18" customHeight="1" x14ac:dyDescent="0.25"/>
  <cols>
    <col min="1" max="1" width="1.7109375" style="1" customWidth="1"/>
    <col min="2" max="2" width="11.42578125" style="1" customWidth="1"/>
    <col min="3" max="3" width="16.28515625" style="1" bestFit="1" customWidth="1"/>
    <col min="4" max="4" width="15.85546875" style="1" bestFit="1" customWidth="1"/>
    <col min="5" max="5" width="19.28515625" style="1" bestFit="1" customWidth="1"/>
    <col min="6" max="6" width="16" style="1" customWidth="1"/>
    <col min="7" max="7" width="15.85546875" style="1" bestFit="1" customWidth="1"/>
    <col min="8" max="16384" width="9.140625" style="1"/>
  </cols>
  <sheetData>
    <row r="4" spans="2:7" s="3" customFormat="1" ht="21.95" customHeight="1" thickBot="1" x14ac:dyDescent="0.3">
      <c r="B4" s="4" t="s">
        <v>92</v>
      </c>
    </row>
    <row r="5" spans="2:7" ht="8.1" customHeight="1" thickTop="1" x14ac:dyDescent="0.25"/>
    <row r="6" spans="2:7" ht="30" customHeight="1" thickBot="1" x14ac:dyDescent="0.3">
      <c r="B6" s="36" t="s">
        <v>1</v>
      </c>
      <c r="C6" s="37" t="s">
        <v>84</v>
      </c>
      <c r="D6" s="37" t="s">
        <v>85</v>
      </c>
      <c r="E6" s="37" t="s">
        <v>86</v>
      </c>
      <c r="F6" s="37" t="s">
        <v>87</v>
      </c>
      <c r="G6" s="38" t="s">
        <v>88</v>
      </c>
    </row>
    <row r="7" spans="2:7" ht="18" customHeight="1" x14ac:dyDescent="0.25">
      <c r="B7" s="39" t="s">
        <v>2</v>
      </c>
      <c r="C7" s="34">
        <f>SUMIFS(Tab_Contribuicoes[VALOR PAGO],Tab_Contribuicoes[AUX MÊS],FLUXO!$B7)</f>
        <v>1000</v>
      </c>
      <c r="D7" s="34">
        <f>SUMIFS(Tab_Emprestimos[VALOR EMPRESTADO],Tab_Emprestimos[AUX MÊS],FLUXO!$B7)</f>
        <v>1050</v>
      </c>
      <c r="E7" s="34">
        <f>SUMIFS(Tab_PgtoEmprestimos[VALOR PAGO],Tab_PgtoEmprestimos[AUX MÊS],FLUXO!$B7)</f>
        <v>745</v>
      </c>
      <c r="F7" s="34">
        <f>FLUXO!$C7-FLUXO!$D7+FLUXO!$E7</f>
        <v>695</v>
      </c>
      <c r="G7" s="35">
        <f>FLUXO!$F7</f>
        <v>695</v>
      </c>
    </row>
    <row r="8" spans="2:7" ht="18" customHeight="1" x14ac:dyDescent="0.25">
      <c r="B8" s="40" t="s">
        <v>3</v>
      </c>
      <c r="C8" s="30">
        <f>SUMIFS(Tab_Contribuicoes[VALOR PAGO],Tab_Contribuicoes[AUX MÊS],FLUXO!$B8)</f>
        <v>980</v>
      </c>
      <c r="D8" s="30">
        <f>SUMIFS(Tab_Emprestimos[VALOR EMPRESTADO],Tab_Emprestimos[AUX MÊS],FLUXO!$B8)</f>
        <v>1050</v>
      </c>
      <c r="E8" s="30">
        <f>SUMIFS(Tab_PgtoEmprestimos[VALOR PAGO],Tab_PgtoEmprestimos[AUX MÊS],FLUXO!$B8)</f>
        <v>375</v>
      </c>
      <c r="F8" s="30">
        <f>FLUXO!$C8-FLUXO!$D8+FLUXO!$E8</f>
        <v>305</v>
      </c>
      <c r="G8" s="31">
        <f>G7+FLUXO!$F8</f>
        <v>1000</v>
      </c>
    </row>
    <row r="9" spans="2:7" ht="18" customHeight="1" x14ac:dyDescent="0.25">
      <c r="B9" s="40" t="s">
        <v>4</v>
      </c>
      <c r="C9" s="30">
        <f>SUMIFS(Tab_Contribuicoes[VALOR PAGO],Tab_Contribuicoes[AUX MÊS],FLUXO!$B9)</f>
        <v>800</v>
      </c>
      <c r="D9" s="30">
        <f>SUMIFS(Tab_Emprestimos[VALOR EMPRESTADO],Tab_Emprestimos[AUX MÊS],FLUXO!$B9)</f>
        <v>0</v>
      </c>
      <c r="E9" s="30">
        <f>SUMIFS(Tab_PgtoEmprestimos[VALOR PAGO],Tab_PgtoEmprestimos[AUX MÊS],FLUXO!$B9)</f>
        <v>802.5</v>
      </c>
      <c r="F9" s="30">
        <f>FLUXO!$C9-FLUXO!$D9+FLUXO!$E9</f>
        <v>1602.5</v>
      </c>
      <c r="G9" s="31">
        <f>G8+FLUXO!$F9</f>
        <v>2602.5</v>
      </c>
    </row>
    <row r="10" spans="2:7" ht="18" customHeight="1" x14ac:dyDescent="0.25">
      <c r="B10" s="40" t="s">
        <v>5</v>
      </c>
      <c r="C10" s="30">
        <f>SUMIFS(Tab_Contribuicoes[VALOR PAGO],Tab_Contribuicoes[AUX MÊS],FLUXO!$B10)</f>
        <v>1000</v>
      </c>
      <c r="D10" s="30">
        <f>SUMIFS(Tab_Emprestimos[VALOR EMPRESTADO],Tab_Emprestimos[AUX MÊS],FLUXO!$B10)</f>
        <v>0</v>
      </c>
      <c r="E10" s="30">
        <f>SUMIFS(Tab_PgtoEmprestimos[VALOR PAGO],Tab_PgtoEmprestimos[AUX MÊS],FLUXO!$B10)</f>
        <v>0</v>
      </c>
      <c r="F10" s="30">
        <f>FLUXO!$C10-FLUXO!$D10+FLUXO!$E10</f>
        <v>1000</v>
      </c>
      <c r="G10" s="31">
        <f>G9+FLUXO!$F10</f>
        <v>3602.5</v>
      </c>
    </row>
    <row r="11" spans="2:7" ht="18" customHeight="1" x14ac:dyDescent="0.25">
      <c r="B11" s="40" t="s">
        <v>6</v>
      </c>
      <c r="C11" s="30">
        <f>SUMIFS(Tab_Contribuicoes[VALOR PAGO],Tab_Contribuicoes[AUX MÊS],FLUXO!$B11)</f>
        <v>0</v>
      </c>
      <c r="D11" s="30">
        <f>SUMIFS(Tab_Emprestimos[VALOR EMPRESTADO],Tab_Emprestimos[AUX MÊS],FLUXO!$B11)</f>
        <v>0</v>
      </c>
      <c r="E11" s="30">
        <f>SUMIFS(Tab_PgtoEmprestimos[VALOR PAGO],Tab_PgtoEmprestimos[AUX MÊS],FLUXO!$B11)</f>
        <v>0</v>
      </c>
      <c r="F11" s="30">
        <f>FLUXO!$C11-FLUXO!$D11+FLUXO!$E11</f>
        <v>0</v>
      </c>
      <c r="G11" s="31">
        <f>G10+FLUXO!$F11</f>
        <v>3602.5</v>
      </c>
    </row>
    <row r="12" spans="2:7" ht="18" customHeight="1" x14ac:dyDescent="0.25">
      <c r="B12" s="40" t="s">
        <v>7</v>
      </c>
      <c r="C12" s="30">
        <f>SUMIFS(Tab_Contribuicoes[VALOR PAGO],Tab_Contribuicoes[AUX MÊS],FLUXO!$B12)</f>
        <v>0</v>
      </c>
      <c r="D12" s="30">
        <f>SUMIFS(Tab_Emprestimos[VALOR EMPRESTADO],Tab_Emprestimos[AUX MÊS],FLUXO!$B12)</f>
        <v>0</v>
      </c>
      <c r="E12" s="30">
        <f>SUMIFS(Tab_PgtoEmprestimos[VALOR PAGO],Tab_PgtoEmprestimos[AUX MÊS],FLUXO!$B12)</f>
        <v>0</v>
      </c>
      <c r="F12" s="30">
        <f>FLUXO!$C12-FLUXO!$D12+FLUXO!$E12</f>
        <v>0</v>
      </c>
      <c r="G12" s="31">
        <f>G11+FLUXO!$F12</f>
        <v>3602.5</v>
      </c>
    </row>
    <row r="13" spans="2:7" ht="18" customHeight="1" x14ac:dyDescent="0.25">
      <c r="B13" s="40" t="s">
        <v>8</v>
      </c>
      <c r="C13" s="30">
        <f>SUMIFS(Tab_Contribuicoes[VALOR PAGO],Tab_Contribuicoes[AUX MÊS],FLUXO!$B13)</f>
        <v>0</v>
      </c>
      <c r="D13" s="30">
        <f>SUMIFS(Tab_Emprestimos[VALOR EMPRESTADO],Tab_Emprestimos[AUX MÊS],FLUXO!$B13)</f>
        <v>0</v>
      </c>
      <c r="E13" s="30">
        <f>SUMIFS(Tab_PgtoEmprestimos[VALOR PAGO],Tab_PgtoEmprestimos[AUX MÊS],FLUXO!$B13)</f>
        <v>0</v>
      </c>
      <c r="F13" s="30">
        <f>FLUXO!$C13-FLUXO!$D13+FLUXO!$E13</f>
        <v>0</v>
      </c>
      <c r="G13" s="31">
        <f>G12+FLUXO!$F13</f>
        <v>3602.5</v>
      </c>
    </row>
    <row r="14" spans="2:7" ht="18" customHeight="1" x14ac:dyDescent="0.25">
      <c r="B14" s="40" t="s">
        <v>9</v>
      </c>
      <c r="C14" s="30">
        <f>SUMIFS(Tab_Contribuicoes[VALOR PAGO],Tab_Contribuicoes[AUX MÊS],FLUXO!$B14)</f>
        <v>0</v>
      </c>
      <c r="D14" s="30">
        <f>SUMIFS(Tab_Emprestimos[VALOR EMPRESTADO],Tab_Emprestimos[AUX MÊS],FLUXO!$B14)</f>
        <v>0</v>
      </c>
      <c r="E14" s="30">
        <f>SUMIFS(Tab_PgtoEmprestimos[VALOR PAGO],Tab_PgtoEmprestimos[AUX MÊS],FLUXO!$B14)</f>
        <v>0</v>
      </c>
      <c r="F14" s="30">
        <f>FLUXO!$C14-FLUXO!$D14+FLUXO!$E14</f>
        <v>0</v>
      </c>
      <c r="G14" s="31">
        <f>G13+FLUXO!$F14</f>
        <v>3602.5</v>
      </c>
    </row>
    <row r="15" spans="2:7" ht="18" customHeight="1" x14ac:dyDescent="0.25">
      <c r="B15" s="40" t="s">
        <v>10</v>
      </c>
      <c r="C15" s="30">
        <f>SUMIFS(Tab_Contribuicoes[VALOR PAGO],Tab_Contribuicoes[AUX MÊS],FLUXO!$B15)</f>
        <v>0</v>
      </c>
      <c r="D15" s="30">
        <f>SUMIFS(Tab_Emprestimos[VALOR EMPRESTADO],Tab_Emprestimos[AUX MÊS],FLUXO!$B15)</f>
        <v>0</v>
      </c>
      <c r="E15" s="30">
        <f>SUMIFS(Tab_PgtoEmprestimos[VALOR PAGO],Tab_PgtoEmprestimos[AUX MÊS],FLUXO!$B15)</f>
        <v>0</v>
      </c>
      <c r="F15" s="30">
        <f>FLUXO!$C15-FLUXO!$D15+FLUXO!$E15</f>
        <v>0</v>
      </c>
      <c r="G15" s="31">
        <f>G14+FLUXO!$F15</f>
        <v>3602.5</v>
      </c>
    </row>
    <row r="16" spans="2:7" ht="18" customHeight="1" x14ac:dyDescent="0.25">
      <c r="B16" s="40" t="s">
        <v>11</v>
      </c>
      <c r="C16" s="30">
        <f>SUMIFS(Tab_Contribuicoes[VALOR PAGO],Tab_Contribuicoes[AUX MÊS],FLUXO!$B16)</f>
        <v>0</v>
      </c>
      <c r="D16" s="30">
        <f>SUMIFS(Tab_Emprestimos[VALOR EMPRESTADO],Tab_Emprestimos[AUX MÊS],FLUXO!$B16)</f>
        <v>0</v>
      </c>
      <c r="E16" s="30">
        <f>SUMIFS(Tab_PgtoEmprestimos[VALOR PAGO],Tab_PgtoEmprestimos[AUX MÊS],FLUXO!$B16)</f>
        <v>0</v>
      </c>
      <c r="F16" s="30">
        <f>FLUXO!$C16-FLUXO!$D16+FLUXO!$E16</f>
        <v>0</v>
      </c>
      <c r="G16" s="31">
        <f>G15+FLUXO!$F16</f>
        <v>3602.5</v>
      </c>
    </row>
    <row r="17" spans="2:7" ht="18" customHeight="1" x14ac:dyDescent="0.25">
      <c r="B17" s="40" t="s">
        <v>12</v>
      </c>
      <c r="C17" s="30">
        <f>SUMIFS(Tab_Contribuicoes[VALOR PAGO],Tab_Contribuicoes[AUX MÊS],FLUXO!$B17)</f>
        <v>0</v>
      </c>
      <c r="D17" s="30">
        <f>SUMIFS(Tab_Emprestimos[VALOR EMPRESTADO],Tab_Emprestimos[AUX MÊS],FLUXO!$B17)</f>
        <v>0</v>
      </c>
      <c r="E17" s="30">
        <f>SUMIFS(Tab_PgtoEmprestimos[VALOR PAGO],Tab_PgtoEmprestimos[AUX MÊS],FLUXO!$B17)</f>
        <v>0</v>
      </c>
      <c r="F17" s="30">
        <f>FLUXO!$C17-FLUXO!$D17+FLUXO!$E17</f>
        <v>0</v>
      </c>
      <c r="G17" s="31">
        <f>G16+FLUXO!$F17</f>
        <v>3602.5</v>
      </c>
    </row>
    <row r="18" spans="2:7" ht="18" customHeight="1" x14ac:dyDescent="0.25">
      <c r="B18" s="40" t="s">
        <v>13</v>
      </c>
      <c r="C18" s="30">
        <f>SUMIFS(Tab_Contribuicoes[VALOR PAGO],Tab_Contribuicoes[AUX MÊS],FLUXO!$B18)</f>
        <v>0</v>
      </c>
      <c r="D18" s="30">
        <f>SUMIFS(Tab_Emprestimos[VALOR EMPRESTADO],Tab_Emprestimos[AUX MÊS],FLUXO!$B18)</f>
        <v>0</v>
      </c>
      <c r="E18" s="30">
        <f>SUMIFS(Tab_PgtoEmprestimos[VALOR PAGO],Tab_PgtoEmprestimos[AUX MÊS],FLUXO!$B18)</f>
        <v>0</v>
      </c>
      <c r="F18" s="30">
        <f>FLUXO!$C18-FLUXO!$D18+FLUXO!$E18</f>
        <v>0</v>
      </c>
      <c r="G18" s="31">
        <f>G17+FLUXO!$F18</f>
        <v>3602.5</v>
      </c>
    </row>
    <row r="19" spans="2:7" ht="18" customHeight="1" x14ac:dyDescent="0.25">
      <c r="B19" s="41" t="s">
        <v>14</v>
      </c>
      <c r="C19" s="32">
        <f>SUM(C7:C18)</f>
        <v>3780</v>
      </c>
      <c r="D19" s="32">
        <f t="shared" ref="D19:E19" si="0">SUM(D7:D18)</f>
        <v>2100</v>
      </c>
      <c r="E19" s="32">
        <f t="shared" si="0"/>
        <v>1922.5</v>
      </c>
      <c r="F19" s="32">
        <f>FLUXO!$C19-FLUXO!$D19+FLUXO!$E19</f>
        <v>3602.5</v>
      </c>
      <c r="G19" s="33">
        <f>G18</f>
        <v>3602.5</v>
      </c>
    </row>
    <row r="21" spans="2:7" ht="18" customHeight="1" x14ac:dyDescent="0.25">
      <c r="E21" s="43"/>
      <c r="F21" s="43"/>
      <c r="G21" s="43"/>
    </row>
  </sheetData>
  <phoneticPr fontId="4" type="noConversion"/>
  <conditionalFormatting sqref="G7:G19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F07EB-ACA6-4FCE-B57A-F1F2BA925E4C}">
  <dimension ref="A1:AR122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1.7109375" style="1" customWidth="1"/>
    <col min="2" max="9" width="9.42578125" style="1" customWidth="1"/>
    <col min="10" max="10" width="12.7109375" style="1" customWidth="1"/>
    <col min="11" max="18" width="9.42578125" style="1" customWidth="1"/>
    <col min="19" max="16384" width="9.140625" style="1"/>
  </cols>
  <sheetData>
    <row r="1" spans="1:44" ht="18" customHeight="1" x14ac:dyDescent="0.25"/>
    <row r="2" spans="1:44" ht="18" customHeight="1" x14ac:dyDescent="0.25"/>
    <row r="3" spans="1:44" ht="18" customHeight="1" x14ac:dyDescent="0.25"/>
    <row r="4" spans="1:44" s="3" customFormat="1" ht="21.95" customHeight="1" thickBot="1" x14ac:dyDescent="0.3">
      <c r="B4" s="4" t="s">
        <v>93</v>
      </c>
    </row>
    <row r="5" spans="1:44" ht="8.1" customHeight="1" thickTop="1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4" ht="8.1" customHeight="1" x14ac:dyDescent="0.25">
      <c r="A6" s="2"/>
      <c r="B6" s="7"/>
      <c r="C6" s="8"/>
      <c r="D6" s="8"/>
      <c r="E6" s="8"/>
      <c r="F6" s="8"/>
      <c r="G6" s="8"/>
      <c r="H6" s="8"/>
      <c r="I6" s="9"/>
      <c r="J6" s="2"/>
      <c r="K6" s="7"/>
      <c r="L6" s="8"/>
      <c r="M6" s="8"/>
      <c r="N6" s="8"/>
      <c r="O6" s="8"/>
      <c r="P6" s="8"/>
      <c r="Q6" s="8"/>
      <c r="R6" s="9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44" ht="22.5" customHeight="1" x14ac:dyDescent="0.25">
      <c r="A7" s="2"/>
      <c r="B7" s="48" t="s">
        <v>17</v>
      </c>
      <c r="C7" s="49"/>
      <c r="D7" s="49"/>
      <c r="E7" s="49"/>
      <c r="F7" s="49"/>
      <c r="G7" s="49"/>
      <c r="H7" s="49"/>
      <c r="I7" s="50"/>
      <c r="J7" s="2"/>
      <c r="K7" s="48" t="s">
        <v>18</v>
      </c>
      <c r="L7" s="49"/>
      <c r="M7" s="49"/>
      <c r="N7" s="49"/>
      <c r="O7" s="49"/>
      <c r="P7" s="49"/>
      <c r="Q7" s="49"/>
      <c r="R7" s="50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44" ht="18" customHeight="1" x14ac:dyDescent="0.25">
      <c r="A8" s="2"/>
      <c r="B8" s="51"/>
      <c r="C8" s="52"/>
      <c r="D8" s="52"/>
      <c r="E8" s="52"/>
      <c r="F8" s="52"/>
      <c r="G8" s="52"/>
      <c r="H8" s="52"/>
      <c r="I8" s="53"/>
      <c r="J8" s="2"/>
      <c r="K8" s="51"/>
      <c r="L8" s="52"/>
      <c r="M8" s="52"/>
      <c r="N8" s="52"/>
      <c r="O8" s="52"/>
      <c r="P8" s="52"/>
      <c r="Q8" s="52"/>
      <c r="R8" s="53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44" ht="18" customHeight="1" x14ac:dyDescent="0.25">
      <c r="A9" s="2"/>
      <c r="B9" s="54" t="s">
        <v>19</v>
      </c>
      <c r="C9" s="55"/>
      <c r="D9" s="55"/>
      <c r="E9" s="55"/>
      <c r="F9" s="55"/>
      <c r="G9" s="55"/>
      <c r="H9" s="55"/>
      <c r="I9" s="56"/>
      <c r="J9" s="2"/>
      <c r="K9" s="54" t="s">
        <v>20</v>
      </c>
      <c r="L9" s="55"/>
      <c r="M9" s="55"/>
      <c r="N9" s="55"/>
      <c r="O9" s="55"/>
      <c r="P9" s="55"/>
      <c r="Q9" s="55"/>
      <c r="R9" s="56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</row>
    <row r="10" spans="1:44" ht="40.5" customHeight="1" x14ac:dyDescent="0.25">
      <c r="A10" s="2"/>
      <c r="B10" s="57" t="s">
        <v>21</v>
      </c>
      <c r="C10" s="58"/>
      <c r="D10" s="58"/>
      <c r="E10" s="58"/>
      <c r="F10" s="58"/>
      <c r="G10" s="58"/>
      <c r="H10" s="58"/>
      <c r="I10" s="59"/>
      <c r="J10" s="2"/>
      <c r="K10" s="54" t="s">
        <v>22</v>
      </c>
      <c r="L10" s="55"/>
      <c r="M10" s="55"/>
      <c r="N10" s="55"/>
      <c r="O10" s="55"/>
      <c r="P10" s="55"/>
      <c r="Q10" s="55"/>
      <c r="R10" s="56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</row>
    <row r="11" spans="1:44" ht="5.0999999999999996" customHeight="1" x14ac:dyDescent="0.25">
      <c r="A11" s="2"/>
      <c r="B11" s="60"/>
      <c r="C11" s="61"/>
      <c r="D11" s="61"/>
      <c r="E11" s="61"/>
      <c r="F11" s="61"/>
      <c r="G11" s="61"/>
      <c r="H11" s="61"/>
      <c r="I11" s="62"/>
      <c r="J11" s="2"/>
      <c r="K11" s="51"/>
      <c r="L11" s="52"/>
      <c r="M11" s="52"/>
      <c r="N11" s="52"/>
      <c r="O11" s="52"/>
      <c r="P11" s="52"/>
      <c r="Q11" s="52"/>
      <c r="R11" s="53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</row>
    <row r="12" spans="1:44" ht="39" customHeight="1" x14ac:dyDescent="0.25">
      <c r="A12" s="2"/>
      <c r="B12" s="63" t="s">
        <v>23</v>
      </c>
      <c r="C12" s="64"/>
      <c r="D12" s="64"/>
      <c r="E12" s="64"/>
      <c r="F12" s="64"/>
      <c r="G12" s="64"/>
      <c r="H12" s="64"/>
      <c r="I12" s="65"/>
      <c r="J12" s="2"/>
      <c r="K12" s="66" t="s">
        <v>24</v>
      </c>
      <c r="L12" s="67"/>
      <c r="M12" s="67"/>
      <c r="N12" s="67"/>
      <c r="O12" s="67"/>
      <c r="P12" s="67"/>
      <c r="Q12" s="67"/>
      <c r="R12" s="68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</row>
    <row r="13" spans="1:44" ht="5.0999999999999996" customHeight="1" x14ac:dyDescent="0.25">
      <c r="A13" s="2"/>
      <c r="B13" s="10"/>
      <c r="C13" s="11"/>
      <c r="D13" s="11"/>
      <c r="E13" s="11"/>
      <c r="F13" s="11"/>
      <c r="G13" s="11"/>
      <c r="H13" s="11"/>
      <c r="I13" s="12"/>
      <c r="J13" s="2"/>
      <c r="K13" s="13"/>
      <c r="L13" s="14"/>
      <c r="M13" s="14"/>
      <c r="N13" s="14"/>
      <c r="O13" s="14"/>
      <c r="P13" s="14"/>
      <c r="Q13" s="14"/>
      <c r="R13" s="15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</row>
    <row r="14" spans="1:44" ht="18" customHeight="1" x14ac:dyDescent="0.25">
      <c r="A14" s="2"/>
      <c r="B14" s="69" t="s">
        <v>25</v>
      </c>
      <c r="C14" s="70"/>
      <c r="D14" s="70"/>
      <c r="E14" s="70"/>
      <c r="F14" s="75"/>
      <c r="G14" s="75"/>
      <c r="H14" s="75"/>
      <c r="I14" s="76"/>
      <c r="J14" s="2"/>
      <c r="K14" s="81" t="s">
        <v>26</v>
      </c>
      <c r="L14" s="82"/>
      <c r="M14" s="82"/>
      <c r="N14" s="82"/>
      <c r="O14" s="82"/>
      <c r="P14" s="82"/>
      <c r="Q14" s="82"/>
      <c r="R14" s="83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</row>
    <row r="15" spans="1:44" ht="21" customHeight="1" x14ac:dyDescent="0.25">
      <c r="A15" s="2"/>
      <c r="B15" s="71"/>
      <c r="C15" s="72"/>
      <c r="D15" s="72"/>
      <c r="E15" s="72"/>
      <c r="F15" s="77"/>
      <c r="G15" s="77"/>
      <c r="H15" s="77"/>
      <c r="I15" s="78"/>
      <c r="J15" s="2"/>
      <c r="K15" s="84" t="s">
        <v>27</v>
      </c>
      <c r="L15" s="85"/>
      <c r="M15" s="85"/>
      <c r="N15" s="85"/>
      <c r="O15" s="85"/>
      <c r="P15" s="85"/>
      <c r="Q15" s="85"/>
      <c r="R15" s="86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</row>
    <row r="16" spans="1:44" ht="18" customHeight="1" x14ac:dyDescent="0.25">
      <c r="A16" s="2"/>
      <c r="B16" s="71"/>
      <c r="C16" s="72"/>
      <c r="D16" s="72"/>
      <c r="E16" s="72"/>
      <c r="F16" s="77"/>
      <c r="G16" s="77"/>
      <c r="H16" s="77"/>
      <c r="I16" s="78"/>
      <c r="J16" s="2"/>
      <c r="K16" s="84" t="s">
        <v>28</v>
      </c>
      <c r="L16" s="85"/>
      <c r="M16" s="85"/>
      <c r="N16" s="85"/>
      <c r="O16" s="85"/>
      <c r="P16" s="85"/>
      <c r="Q16" s="85"/>
      <c r="R16" s="86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spans="1:44" ht="18" customHeight="1" x14ac:dyDescent="0.25">
      <c r="A17" s="2"/>
      <c r="B17" s="71"/>
      <c r="C17" s="72"/>
      <c r="D17" s="72"/>
      <c r="E17" s="72"/>
      <c r="F17" s="77"/>
      <c r="G17" s="77"/>
      <c r="H17" s="77"/>
      <c r="I17" s="78"/>
      <c r="J17" s="2"/>
      <c r="K17" s="84" t="s">
        <v>29</v>
      </c>
      <c r="L17" s="85"/>
      <c r="M17" s="85"/>
      <c r="N17" s="85"/>
      <c r="O17" s="85"/>
      <c r="P17" s="85"/>
      <c r="Q17" s="85"/>
      <c r="R17" s="86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spans="1:44" ht="33" customHeight="1" x14ac:dyDescent="0.25">
      <c r="A18" s="2"/>
      <c r="B18" s="73"/>
      <c r="C18" s="74"/>
      <c r="D18" s="74"/>
      <c r="E18" s="74"/>
      <c r="F18" s="79"/>
      <c r="G18" s="79"/>
      <c r="H18" s="79"/>
      <c r="I18" s="80"/>
      <c r="J18" s="2"/>
      <c r="K18" s="63" t="s">
        <v>30</v>
      </c>
      <c r="L18" s="64"/>
      <c r="M18" s="64"/>
      <c r="N18" s="64"/>
      <c r="O18" s="64"/>
      <c r="P18" s="64"/>
      <c r="Q18" s="64"/>
      <c r="R18" s="65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spans="1:44" ht="21" customHeight="1" x14ac:dyDescent="0.25">
      <c r="A19" s="2"/>
      <c r="B19" s="90" t="s">
        <v>31</v>
      </c>
      <c r="C19" s="91"/>
      <c r="D19" s="91"/>
      <c r="E19" s="91"/>
      <c r="F19" s="91"/>
      <c r="G19" s="91"/>
      <c r="H19" s="91"/>
      <c r="I19" s="92"/>
      <c r="J19" s="2"/>
      <c r="K19" s="87"/>
      <c r="L19" s="88"/>
      <c r="M19" s="88"/>
      <c r="N19" s="88"/>
      <c r="O19" s="88"/>
      <c r="P19" s="88"/>
      <c r="Q19" s="88"/>
      <c r="R19" s="89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spans="1:44" ht="18" customHeight="1" x14ac:dyDescent="0.25">
      <c r="A20" s="2"/>
      <c r="B20" s="94" t="s">
        <v>32</v>
      </c>
      <c r="C20" s="95"/>
      <c r="D20" s="95"/>
      <c r="E20" s="95"/>
      <c r="F20" s="95"/>
      <c r="G20" s="95"/>
      <c r="H20" s="95"/>
      <c r="I20" s="96"/>
      <c r="J20" s="2"/>
      <c r="K20" s="69" t="s">
        <v>33</v>
      </c>
      <c r="L20" s="70"/>
      <c r="M20" s="70"/>
      <c r="N20" s="70"/>
      <c r="O20" s="70"/>
      <c r="P20" s="70"/>
      <c r="Q20" s="70"/>
      <c r="R20" s="97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spans="1:44" ht="21" customHeight="1" x14ac:dyDescent="0.25">
      <c r="A21" s="2"/>
      <c r="B21" s="94"/>
      <c r="C21" s="95"/>
      <c r="D21" s="95"/>
      <c r="E21" s="95"/>
      <c r="F21" s="95"/>
      <c r="G21" s="95"/>
      <c r="H21" s="95"/>
      <c r="I21" s="96"/>
      <c r="J21" s="2"/>
      <c r="K21" s="71"/>
      <c r="L21" s="72"/>
      <c r="M21" s="72"/>
      <c r="N21" s="72"/>
      <c r="O21" s="72"/>
      <c r="P21" s="72"/>
      <c r="Q21" s="72"/>
      <c r="R21" s="98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spans="1:44" ht="29.25" customHeight="1" x14ac:dyDescent="0.25">
      <c r="A22" s="2"/>
      <c r="B22" s="99"/>
      <c r="C22" s="100"/>
      <c r="D22" s="100"/>
      <c r="E22" s="100"/>
      <c r="F22" s="100"/>
      <c r="G22" s="100"/>
      <c r="H22" s="100"/>
      <c r="I22" s="101"/>
      <c r="J22" s="2"/>
      <c r="K22" s="108"/>
      <c r="L22" s="109"/>
      <c r="M22" s="109"/>
      <c r="N22" s="109"/>
      <c r="O22" s="109"/>
      <c r="P22" s="109"/>
      <c r="Q22" s="109"/>
      <c r="R22" s="110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spans="1:44" ht="24" customHeight="1" x14ac:dyDescent="0.25">
      <c r="A23" s="2"/>
      <c r="B23" s="102"/>
      <c r="C23" s="103"/>
      <c r="D23" s="103"/>
      <c r="E23" s="103"/>
      <c r="F23" s="103"/>
      <c r="G23" s="103"/>
      <c r="H23" s="103"/>
      <c r="I23" s="104"/>
      <c r="J23" s="2"/>
      <c r="K23" s="111"/>
      <c r="L23" s="112"/>
      <c r="M23" s="112"/>
      <c r="N23" s="112"/>
      <c r="O23" s="112"/>
      <c r="P23" s="112"/>
      <c r="Q23" s="112"/>
      <c r="R23" s="113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spans="1:44" ht="24" customHeight="1" thickBot="1" x14ac:dyDescent="0.3">
      <c r="A24" s="2"/>
      <c r="B24" s="105"/>
      <c r="C24" s="106"/>
      <c r="D24" s="106"/>
      <c r="E24" s="106"/>
      <c r="F24" s="106"/>
      <c r="G24" s="106"/>
      <c r="H24" s="106"/>
      <c r="I24" s="107"/>
      <c r="J24" s="2"/>
      <c r="K24" s="114"/>
      <c r="L24" s="115"/>
      <c r="M24" s="115"/>
      <c r="N24" s="115"/>
      <c r="O24" s="115"/>
      <c r="P24" s="115"/>
      <c r="Q24" s="115"/>
      <c r="R24" s="116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spans="1:44" ht="18" customHeight="1" x14ac:dyDescent="0.25">
      <c r="A25" s="2"/>
      <c r="B25" s="93"/>
      <c r="C25" s="93"/>
      <c r="D25" s="93"/>
      <c r="E25" s="93"/>
      <c r="F25" s="93"/>
      <c r="G25" s="93"/>
      <c r="H25" s="93"/>
      <c r="I25" s="93"/>
      <c r="J25" s="2"/>
      <c r="K25" s="93"/>
      <c r="L25" s="93"/>
      <c r="M25" s="93"/>
      <c r="N25" s="93"/>
      <c r="O25" s="93"/>
      <c r="P25" s="93"/>
      <c r="Q25" s="93"/>
      <c r="R25" s="93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spans="1:44" ht="18" customHeight="1" x14ac:dyDescent="0.25">
      <c r="A26" s="2"/>
      <c r="B26" s="93"/>
      <c r="C26" s="93"/>
      <c r="D26" s="93"/>
      <c r="E26" s="93"/>
      <c r="F26" s="93"/>
      <c r="G26" s="93"/>
      <c r="H26" s="93"/>
      <c r="I26" s="93"/>
      <c r="J26" s="2"/>
      <c r="K26" s="93"/>
      <c r="L26" s="93"/>
      <c r="M26" s="93"/>
      <c r="N26" s="93"/>
      <c r="O26" s="93"/>
      <c r="P26" s="93"/>
      <c r="Q26" s="93"/>
      <c r="R26" s="93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spans="1:44" ht="18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spans="1:44" ht="18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spans="1:44" ht="18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</row>
    <row r="30" spans="1:44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</row>
    <row r="31" spans="1:44" ht="18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</row>
    <row r="32" spans="1:44" ht="18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</row>
    <row r="33" spans="1:44" ht="18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</row>
    <row r="34" spans="1:44" ht="18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</row>
    <row r="35" spans="1:44" ht="18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</row>
    <row r="36" spans="1:44" ht="18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</row>
    <row r="37" spans="1:44" ht="18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</row>
    <row r="38" spans="1:44" ht="18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</row>
    <row r="39" spans="1:44" ht="18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</row>
    <row r="40" spans="1:44" ht="18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</row>
    <row r="41" spans="1:44" ht="18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</row>
    <row r="42" spans="1:44" ht="18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</row>
    <row r="43" spans="1:44" ht="18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</row>
    <row r="44" spans="1:44" ht="18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</row>
    <row r="45" spans="1:44" ht="18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</row>
    <row r="46" spans="1:44" ht="18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</row>
    <row r="47" spans="1:44" ht="18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</row>
    <row r="48" spans="1:44" ht="18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</row>
    <row r="49" spans="1:44" ht="18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spans="1:44" ht="18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</row>
    <row r="51" spans="1:44" ht="18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</row>
    <row r="52" spans="1:44" ht="18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</row>
    <row r="53" spans="1:44" ht="18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</row>
    <row r="54" spans="1:44" ht="18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</row>
    <row r="55" spans="1:44" ht="18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</row>
    <row r="56" spans="1:44" ht="18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</row>
    <row r="57" spans="1:44" ht="18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</row>
    <row r="58" spans="1:44" ht="18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</row>
    <row r="59" spans="1:44" ht="18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spans="1:44" ht="18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spans="1:44" ht="18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spans="1:44" ht="18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spans="1:44" ht="18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spans="1:44" ht="18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spans="1:44" ht="18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spans="1:44" ht="18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spans="1:44" ht="18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spans="1:44" ht="18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spans="1:44" ht="18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spans="1:44" ht="18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spans="1:44" ht="18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spans="1:44" ht="18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spans="1:44" ht="18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spans="1:44" ht="18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spans="1:44" ht="18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spans="1:44" ht="18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spans="1:44" ht="18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spans="1:44" ht="18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spans="1:44" ht="18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spans="1:44" ht="18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spans="1:44" ht="18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spans="1:44" ht="18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spans="1:44" ht="18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spans="1:44" ht="18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spans="1:44" ht="18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spans="1:44" ht="18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spans="1:44" ht="18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spans="1:44" ht="18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spans="1:44" ht="18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spans="1:44" ht="18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spans="1:44" ht="18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spans="1:44" ht="18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spans="1:44" ht="18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spans="1:44" ht="18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spans="1:44" ht="18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spans="1:44" ht="18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spans="1:44" ht="18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spans="1:44" ht="18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spans="1:4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spans="1:4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</sheetData>
  <mergeCells count="28">
    <mergeCell ref="B26:I26"/>
    <mergeCell ref="K26:R26"/>
    <mergeCell ref="B20:I21"/>
    <mergeCell ref="K20:R21"/>
    <mergeCell ref="B22:I24"/>
    <mergeCell ref="K22:R24"/>
    <mergeCell ref="B25:I25"/>
    <mergeCell ref="K25:R25"/>
    <mergeCell ref="B14:E18"/>
    <mergeCell ref="F14:I18"/>
    <mergeCell ref="K14:R14"/>
    <mergeCell ref="K15:R15"/>
    <mergeCell ref="K16:R16"/>
    <mergeCell ref="K17:R17"/>
    <mergeCell ref="K18:R19"/>
    <mergeCell ref="B19:I19"/>
    <mergeCell ref="B10:I10"/>
    <mergeCell ref="K10:R10"/>
    <mergeCell ref="B11:I11"/>
    <mergeCell ref="K11:R11"/>
    <mergeCell ref="B12:I12"/>
    <mergeCell ref="K12:R12"/>
    <mergeCell ref="B7:I7"/>
    <mergeCell ref="K7:R7"/>
    <mergeCell ref="B8:I8"/>
    <mergeCell ref="K8:R8"/>
    <mergeCell ref="B9:I9"/>
    <mergeCell ref="K9:R9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PARTICIPANTES</vt:lpstr>
      <vt:lpstr>CONTRIBUIÇÕES</vt:lpstr>
      <vt:lpstr>EMPRESTIMOS</vt:lpstr>
      <vt:lpstr>PGTO EMPRESTIMOS</vt:lpstr>
      <vt:lpstr>FLUXO</vt:lpstr>
      <vt:lpstr>BÔNUS</vt:lpstr>
      <vt:lpstr>ID_EMPRÉSTIMOS</vt:lpstr>
      <vt:lpstr>NOME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Silva</dc:creator>
  <cp:lastModifiedBy>Rafael Silva</cp:lastModifiedBy>
  <dcterms:created xsi:type="dcterms:W3CDTF">2025-09-06T11:48:16Z</dcterms:created>
  <dcterms:modified xsi:type="dcterms:W3CDTF">2026-03-26T11:49:24Z</dcterms:modified>
</cp:coreProperties>
</file>